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0"/>
  <workbookPr codeName="ThisWorkbook"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38" documentId="13_ncr:1_{039CDC2F-4EC5-447D-BC9E-0D042CD77040}" xr6:coauthVersionLast="47" xr6:coauthVersionMax="47" xr10:uidLastSave="{072D35BC-5EC1-4AB3-AD0F-624868F3FCF5}"/>
  <bookViews>
    <workbookView xWindow="-120" yWindow="-120" windowWidth="20730" windowHeight="11040" xr2:uid="{E9951750-6718-4E65-99C4-7D8C6E70D595}"/>
  </bookViews>
  <sheets>
    <sheet name="Riesgo 1" sheetId="3" r:id="rId1"/>
    <sheet name="Datos" sheetId="5" state="hidden" r:id="rId2"/>
    <sheet name="Instructivo" sheetId="4" r:id="rId3"/>
  </sheets>
  <definedNames>
    <definedName name="_xlnm.Print_Area" localSheetId="0">'Riesgo 1'!$A$1:$AK$19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7" i="3" l="1"/>
  <c r="V18" i="3"/>
  <c r="S18" i="3"/>
  <c r="S17" i="3"/>
  <c r="V23" i="3"/>
  <c r="S23" i="3"/>
  <c r="V22" i="3"/>
  <c r="S22" i="3"/>
  <c r="V21" i="3" l="1"/>
  <c r="S21" i="3"/>
  <c r="V20" i="3"/>
  <c r="S20" i="3"/>
  <c r="K20" i="3"/>
  <c r="H20" i="3"/>
  <c r="L20" i="3" l="1"/>
  <c r="M20" i="3" s="1"/>
  <c r="AD20" i="3" s="1"/>
  <c r="AC20" i="3" s="1"/>
  <c r="I20" i="3"/>
  <c r="Z20" i="3" s="1"/>
  <c r="AB20" i="3" s="1"/>
  <c r="Z21" i="3" s="1"/>
  <c r="AD21" i="3" l="1"/>
  <c r="AC21" i="3" s="1"/>
  <c r="N20" i="3"/>
  <c r="O20" i="3" s="1"/>
  <c r="AD22" i="3"/>
  <c r="AD23" i="3" s="1"/>
  <c r="AA20" i="3"/>
  <c r="AE20" i="3" s="1"/>
  <c r="AF20" i="3" s="1"/>
  <c r="AB21" i="3"/>
  <c r="Z22" i="3" s="1"/>
  <c r="AA21" i="3"/>
  <c r="AE21" i="3" s="1"/>
  <c r="AF21" i="3" s="1"/>
  <c r="AC23" i="3" l="1"/>
  <c r="AC22" i="3"/>
  <c r="AA22" i="3"/>
  <c r="AB22" i="3"/>
  <c r="Z23" i="3" s="1"/>
  <c r="AB23" i="3" l="1"/>
  <c r="AA23" i="3"/>
  <c r="AE23" i="3" s="1"/>
  <c r="AF23" i="3" s="1"/>
  <c r="AE22" i="3"/>
  <c r="AF22" i="3" s="1"/>
  <c r="V19" i="3"/>
  <c r="S19" i="3"/>
  <c r="V17" i="3" l="1"/>
  <c r="K17" i="3" l="1"/>
  <c r="L17" i="3" s="1"/>
  <c r="M17" i="3" l="1"/>
  <c r="H17" i="3"/>
  <c r="AD17" i="3" l="1"/>
  <c r="AD19" i="3"/>
  <c r="I17" i="3"/>
  <c r="Z17" i="3" s="1"/>
  <c r="AA17" i="3" s="1"/>
  <c r="N17" i="3"/>
  <c r="O17" i="3" s="1"/>
  <c r="AC17" i="3" l="1"/>
  <c r="AE17" i="3" s="1"/>
  <c r="AD18" i="3"/>
  <c r="AC18" i="3" s="1"/>
  <c r="AC19" i="3"/>
  <c r="AB17" i="3"/>
  <c r="Z18" i="3" s="1"/>
  <c r="AA18" i="3" l="1"/>
  <c r="AE18" i="3" s="1"/>
  <c r="AF18" i="3" s="1"/>
  <c r="AB18" i="3"/>
  <c r="Z19" i="3" s="1"/>
  <c r="AA19" i="3" s="1"/>
  <c r="AE19" i="3" s="1"/>
  <c r="AF19" i="3" s="1"/>
  <c r="AB1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tc={004E5629-BD0E-4948-BE86-4CB5417FF6E9}</author>
    <author>tc={24252281-829E-4763-8266-1F662A2789D5}</author>
  </authors>
  <commentList>
    <comment ref="G17" authorId="0" shapeId="0" xr:uid="{004E5629-BD0E-4948-BE86-4CB5417FF6E9}">
      <text>
        <t>[Threaded comment]
Your version of Excel allows you to read this threaded comment; however, any edits to it will get removed if the file is opened in a newer version of Excel. Learn more: https://go.microsoft.com/fwlink/?linkid=870924
Comment:
    SE TOMA COMO BASE EL NUMERO DE SEGUIMIENTOS QUE SE REALIZAN EN EL AÑO POR HERRAMIENTAS Riesgos: 3 , PAAC: 3, Plan de Acción: 4, Plan de Mejoramiento: 4, Indicadores: 4</t>
      </text>
    </comment>
    <comment ref="G20" authorId="1" shapeId="0" xr:uid="{24252281-829E-4763-8266-1F662A2789D5}">
      <text>
        <t>[Threaded comment]
Your version of Excel allows you to read this threaded comment; however, any edits to it will get removed if the file is opened in a newer version of Excel. Learn more: https://go.microsoft.com/fwlink/?linkid=870924
Comment:
    Se toma como base el numero de actividades que conforman el plan de adecuación 2022</t>
      </text>
    </comment>
  </commentList>
</comments>
</file>

<file path=xl/sharedStrings.xml><?xml version="1.0" encoding="utf-8"?>
<sst xmlns="http://schemas.openxmlformats.org/spreadsheetml/2006/main" count="230" uniqueCount="172">
  <si>
    <t>GESTION DEL MEJORAMIENTO</t>
  </si>
  <si>
    <t>CÓDIGO</t>
  </si>
  <si>
    <t>E-PLA-FT-020</t>
  </si>
  <si>
    <t>VERSIÓN</t>
  </si>
  <si>
    <t>09</t>
  </si>
  <si>
    <t>MAPA DE RIESGOS DE GESTIÓN</t>
  </si>
  <si>
    <t>PÁGINA</t>
  </si>
  <si>
    <t>1 DE 1</t>
  </si>
  <si>
    <t>VIGENTE DESDE</t>
  </si>
  <si>
    <t>Proceso</t>
  </si>
  <si>
    <t>SEGUIMIENTO Y MEJORAMIENTO A LA GESTIÓN</t>
  </si>
  <si>
    <t>Objetivo del Proceso</t>
  </si>
  <si>
    <t>Asegurar el mejoramiento continuo de los procesos del IDIPRON a través de la planificación e implementación de actividades para el seguimiento, medicion y analisis de la gestión institucional con el fin de proveer la información necesaria 
para la toma de decisiones y el mejoramiento de las capacidades del instituto</t>
  </si>
  <si>
    <t>Alcance</t>
  </si>
  <si>
    <t>Inicia con la planificacion de la mejora continua para la Implementacion, Coordinacion, asesoria y acompañamiento a los procesos en la implementación de politicas, programas, estrategias, metodologías y planes relacionados con el Modelo integrado de Planeación y Gestion para finalizar con el análisis de los resultados para la implementacion de acciones de mejoramiento.</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</si>
  <si>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</si>
  <si>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</si>
  <si>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</si>
  <si>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</si>
  <si>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</si>
  <si>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</si>
  <si>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</si>
  <si>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</si>
  <si>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</si>
  <si>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</si>
  <si>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</si>
  <si>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</si>
  <si>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</si>
  <si>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</si>
  <si>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</si>
  <si>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</si>
  <si>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</si>
  <si>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</si>
  <si>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</si>
  <si>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</si>
  <si>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</si>
  <si>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</si>
  <si>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</si>
  <si>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</si>
  <si>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</si>
  <si>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</si>
  <si>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</si>
  <si>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</si>
  <si>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</si>
  <si>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</si>
  <si>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</si>
  <si>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</si>
  <si>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</si>
  <si>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</si>
  <si>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</si>
  <si>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</si>
  <si>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</si>
  <si>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</si>
  <si>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</si>
  <si>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</si>
  <si>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</si>
  <si>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</si>
  <si>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</si>
  <si>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</si>
  <si>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</si>
  <si>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reporte de información errada para el mejoramiento contínuo y  la toma de decisiones</t>
  </si>
  <si>
    <t xml:space="preserve">Inadecuada Implementación de las herramientas para el seguimiento de la gestión institucional </t>
  </si>
  <si>
    <t xml:space="preserve">Posibilidad de afectación reputacional por reporte de información errada para el mejoramiento contínuo y  la toma de decisiones debido a la Inadecuada Implementación de las herramientas para el seguimiento de la gestión institucional  </t>
  </si>
  <si>
    <t>El riesgo afecta la imagen de la entidad internamente, de conocimiento general nivel interno, de junta directiva y/o de proveedores</t>
  </si>
  <si>
    <t>Los profesionales de la Oficina Asesora de Planeación encargados de la implementación del MIPG,  cada tres meses realizan seguimiento a la implementación de las herramientas de gestión (Plan de Acción, Plan de Mejoramiento, Indicadores de gestión y PAAC; Mapas de Riesgo es cada 4 meses)  verificando que los procesos han implementado las herramientas de acuerdo con lo establecido en los manuales metodológicos que dan lineamientos a cada una de las herramientas</t>
  </si>
  <si>
    <t>Detectivo</t>
  </si>
  <si>
    <t>Manual</t>
  </si>
  <si>
    <t>Caracterización del Proceso</t>
  </si>
  <si>
    <t>cada tres meses o en los tiempos establecidos para cada una</t>
  </si>
  <si>
    <t>Sharepoint con los seguimientos y evidencias</t>
  </si>
  <si>
    <t>ACEPTAR EL RIESGO</t>
  </si>
  <si>
    <t>De acuerdo con la.metodologia para la administración del riesgo, no se formulan acciones de fortalecimiento para la vigencia 2024, por cuanto los controles existentes se consideran suficientes y permiten mitigar el riesgo</t>
  </si>
  <si>
    <t>Mayo 12/2025</t>
  </si>
  <si>
    <r>
      <rPr>
        <b/>
        <sz val="10"/>
        <color theme="1"/>
        <rFont val="Times New Roman"/>
      </rPr>
      <t xml:space="preserve">Control No.1: 
</t>
    </r>
    <r>
      <rPr>
        <sz val="10"/>
        <color theme="1"/>
        <rFont val="Times New Roman"/>
      </rPr>
      <t xml:space="preserve">Para el periodo correspondiente a Enero - abril  se realizaron los siguientes seguimientos:
*Plan de acción 2025 ( que incluye el seguimiento al PTEP para el cuatrimestre) y planes de mejoramiento 2025 
*Indicadores estratégicos y de gestión 
*Riesgos de corrupción y de gestión ( Cuatrimestral -  Mayo 2025)
Para la realización de los seguimientos se enviaron correos electrónicos a todos los procesos con los lineamientos, fechas de compromiso y los enlaces en Sharepoint para registrar y evidenciar la implementación de las herramientas de gestión.
Los enlaces para el seguimiento a las herramientas se encuentran al interior de los lineamientos emitidos por el jefe de la OAP.
Se cargan como evidencias los lineamientos de cada una de las herramientas de gestión y un muestreo de los seguimientos a las herramientas
</t>
    </r>
    <r>
      <rPr>
        <b/>
        <sz val="10"/>
        <color theme="1"/>
        <rFont val="Times New Roman"/>
      </rPr>
      <t xml:space="preserve">Control 2:
</t>
    </r>
    <r>
      <rPr>
        <sz val="10"/>
        <color theme="1"/>
        <rFont val="Times New Roman"/>
      </rPr>
      <t xml:space="preserve">La primera presentación al CIGD para este año se realizó en el CIGD el día 30012025, donde se presentaron:
1, Plan de Acción 2025
2. Programa de Transparencia y Ética Pública – PTEP 2025
3. Mapas de Riesgos de Corrupción 2025.
Para la presentación al CIGD de los resultados de las herramientas (primer seguimiento), se tiene contemplada realizar cuando se finalicen los monitoreos a los riesgos de gestión, y posterior a los resultados de OCI. Por lo tanto para este peiodo no se ejecuta el control.
</t>
    </r>
    <r>
      <rPr>
        <b/>
        <sz val="10"/>
        <color theme="1"/>
        <rFont val="Times New Roman"/>
      </rPr>
      <t xml:space="preserve">Control 3:
</t>
    </r>
    <r>
      <rPr>
        <sz val="10"/>
        <color theme="1"/>
        <rFont val="Times New Roman"/>
      </rPr>
      <t>Se aportan solicitudes de ajustes o retroalimentación a los procesos de las herramientas de gestión , con el fin de que el proceso realizara los ajustes solicitados, a través de correos electrónicos y/o mesas de trabajo</t>
    </r>
  </si>
  <si>
    <t>No aplica acciones de fortalecimiento</t>
  </si>
  <si>
    <t>No se materializó el riesgo</t>
  </si>
  <si>
    <t>No aplica</t>
  </si>
  <si>
    <t>Control 1:
Se identifica la adecuada aplicación del control con las evidencias de los lineamientos establecidos y enviados desde el correo del jefe de la OAP y el seguimiento a las herramientas de gestión que corresponden al primer trimestre.
Control 2:
De acuerdo con lo definido por el proceso, para este periodo no se han presentado los resultados de las herramientas al CIGD. Sin embargo, se observa que para el comité del 31 de enero, se presentaron temas relacionados con la formulación y aprobación de algunas herramientas de gestión
Control 3:
Se evidencian correos de retroalimentación a las procesos, para la subsanación por errores de reportes 
No requiere acción de fortalecimiento
No se materializó el riesgo</t>
  </si>
  <si>
    <t xml:space="preserve">CONTROL 1
Se evidencia la ejecución de la actividad de control, con los siguientes seguimientos realizados en el primer trimestre del 2025, entre ellos, seguimiento al plan de acción, planes de mejoramiento, indicadores estrategicos y de gestión, mapa de riesgos de corrupción y gestión de la Entidad, de acuerdo con lo establecido en los manuales metodológicos que dan lineamientos a cada una de las herramientas
ACCIONES DE FORTALECIMIENTO
No se reportaron acciones de fortalecimiento
MATERIALIZACIÓN DEL RIESGO
No se materializo el riesgo
CONTROL 2
La evidencia aportada no permite verificar ejecución de la actividad de control, debido a que se observa acta de presentación del plan de acción 2025, planes estrategicos 2025, PTEP 2025, Mapa de riegos de corrupción 2025, entre otros planes; en Comité Institucional de Gestión y Desempeño para su aprobación, tambien se observa según lo manifestado por el proceso, que para la presentación al CIGD de los resultados de las herramientas (primer seguimiento), se tiene contemplada realizar cuando se finalicen los monitoreos a los riesgos de gestión, y posterior a los resultados de OCI. Por lo tanto para este periodo no se ejecuta el control.
Por lo anterior, no se observa los resultados obtenidos en el primer seguimiento realizado del 1er cuatrimestre del 2025 de los planes aprobados por comité directivo.
ACCIONES DE FORTALECIMIENTO
No se reportaron acciones de fortalecimiento
MATERIALIZACIÓN DEL RIESGO
No se materializo el riesgo
CONTROL 3
Se evidencia la ejecución de la actividad de control, con solicitudes de ajustes o retroalimentación a los procesos de las herramientas para el seguimiento de la gestión, con el proposito de que el proceso realice los ajustes requeridos, a través de correos electrónicos y/o mesas de trabajo
ACCIONES DE FORTALECIMIENTO
No se reportaron acciones de fortalecimiento
MATERIALIZACIÓN DEL RIESGO
No se materializo el riesgo
RECOMENDACIONES
Adelantar las gestiones necesarias, que permitan la medición, evaluación y presentación de resultados del primer cuatrimestre del 2025 de los planes aprobados por comite directivo
</t>
  </si>
  <si>
    <t>Tres veces al año, el Jefe de la Oficina Asesora de Planeación lidera la presentación al comité institucional de gestión y desemepeño de los resultados obtenidos en los seguimientos realizados a los procesos.</t>
  </si>
  <si>
    <t>Manual para la Formulacón, Monitoreo y Seguimiento de Indicadores</t>
  </si>
  <si>
    <t>Tres veces al año</t>
  </si>
  <si>
    <t>Acta del comité</t>
  </si>
  <si>
    <t>En caso que se detecte el reporte de  información errada por parte de los procesos, o se detecte la inadecuada implementación de las herramientas para el seguimiento de la gestión,  Los profesionales de la Oficina Asesora de Planeación encargados de la implementación del MIPG realizan mesas de trabajo con los procesos en donde se detectaron las inconsistencias para capacitar a los responsables y recolectar la información nuevamente.</t>
  </si>
  <si>
    <t>Correctivo</t>
  </si>
  <si>
    <t>En caso que se detecte el reporte de  información errada por parte de los procesos</t>
  </si>
  <si>
    <t>Actas de reunión</t>
  </si>
  <si>
    <t xml:space="preserve">Disminución del Indice de Gestión Institucional </t>
  </si>
  <si>
    <t xml:space="preserve">Inadecuada formulación e  Implementación del Plan de Adecuación y Sostenibilidad </t>
  </si>
  <si>
    <t xml:space="preserve">Posibilidad de afectación reputacional por disminución en el Indice de Gestión Institucional debido a una Inadecuada formulación e  Implementación del Plan de Adecuación y Sostenibilidad </t>
  </si>
  <si>
    <t>El riesgo afecta la imagen de la entidad con algunos usuarios de relevancia frente al logro de los objetivos.</t>
  </si>
  <si>
    <t>Cada vez que se reciben los resultados del Indice de Gestión Institucional, los profesionales de la Oficina Asesora de Planeación encargados de la implementación del MIPG realizan el acompañamiento a los procesos en el analisis de los resultados y recomendaciones, verificando que se formulen actividades para aquellas recomendaciones que se pueden implementar durante la vigencia</t>
  </si>
  <si>
    <t>Preventivo</t>
  </si>
  <si>
    <t>Durante los meses de enero y febrero de cada vigencia</t>
  </si>
  <si>
    <t>Sharepoint con los autodiagnósticos diligenciados</t>
  </si>
  <si>
    <t>REDUCIR EL RIESGO</t>
  </si>
  <si>
    <t>Documentar la metodología creada por la OAP para  diligenciar las herramientas que miden  la gestión institucional.</t>
  </si>
  <si>
    <t>Equipo MIPG</t>
  </si>
  <si>
    <t>Control No. 1:  No se ha aplicado el control por cuanto no se han recibido los resultados del Indice de desempeño Institucional en el periodo evaluado.
Control No. 2: Se estableció una herramienta metodológica para dar respuesta a las preguntas del FURAG.
Se adjuntan el correo enviado desde el Jefe de la OAP con la metodología,  formulario diligenciado en pdf y certificado de diligenciamiento
Control No. 3:  No se ha aplicado el control por cuanto aun no se reciben los resultados del Indice de Desempeño Institucional
Control No 4:  No se ha aplicado el control para el periodo por cuanto no se tienen los resultados para el plan de adecuación</t>
  </si>
  <si>
    <t>Esta actividad fue realizada en la vigencia anterior</t>
  </si>
  <si>
    <t>Control 1 
No se presenta seguimiento para este periodo por parte del proceso al no recibir los resultados del Indice de Desempeño Institucional.
Control 2.
De acuerdo a las evidencias aportadas por el proceso,se da cumplimiento al control con la definición de lineamientos para el reporte y los certificados con el diligenciamiento del formulario FURAG 2024
Control 3.
No se presenta seguimiento para este periodo por la no recepción de resultados del Indice de Desempeño Institucional.
Control 4. 
No aplica para el periodo
Acción de fortalecimiento:
Actividad realziada en la vigencia 2024
Para este periodo no se materializó el riesgo</t>
  </si>
  <si>
    <t xml:space="preserve">CONTROL 1
No se aportó evidencia que dé cuenta de la ejecución de la actividad de control
ACCIONES DE FORTALECIMIENTO
No se reportaron acciones de fortalecimiento
MATERIALIZACIÓN DEL RIESGO
No se materializo el riesgo
CONTROL 2
Se evidencia la ejecución de la actividad de control, con la construcción, diligenciamiento y presentación de evidencias de la herramienta FURAG para dar respuestas a las preguntas del instrumento de acuerdo con las mediciones correspondientes
ACCIONES DE FORTALECIMIENTO
No se reportaron acciones de fortalecimiento
MATERIALIZACIÓN DEL RIESGO
No se materializo el riesgo
CONTROL 3
No se aportó evidencia que dé cuenta de la ejecución de la actividad de control
ACCIONES DE FORTALECIMIENTO
No se reportaron acciones de fortalecimiento
MATERIALIZACIÓN DEL RIESGO
No se materializo el riesgo
CONTROL 4
No se aportó evidencia que dé cuenta de la ejecución de la actividad de control
ACCIONES DE FORTALECIMIENTO
No se reportaron acciones de fortalecimiento
MATERIALIZACIÓN DEL RIESGO
No se materializo el riesgo
</t>
  </si>
  <si>
    <t>Cada año,  cuando se habilite la herramienta para dar respuesta a las preguntas del FURAG,  los profesionales de la Oficina Asesora de Planeación encargados de la implementación del MIPG formulan una metodología que permita verificar las respuestas que se van a dar a cada una de las preguntas que componene el FURAG.</t>
  </si>
  <si>
    <t>Cada vez que se reciben los resultados del Indice de Gestión Institucional</t>
  </si>
  <si>
    <t>En caso de que los resultados del Indice de Gestión Institucional presenten una disminución frente a los obtenidos en la vigencia anterior,   los profesionales de la Oficina Asesora de Planeación encargados de la implementación del MIPG realizan el analisis de los resultados obtenidos, realizan mesas de trabajo con los procesos líderes de las politicas para ajustar el plan de adecuación e incluir actividades que contribuyan al mejoramiento de la calificación obtenida</t>
  </si>
  <si>
    <t>Cada año,  cuando se habilite la herramienta para dar respuesta a las preguntas del FURAG</t>
  </si>
  <si>
    <t>Correo electrónico</t>
  </si>
  <si>
    <t>Cuando producto del seguimiento al  Plan de Adecuación, se evidencia incumplimiento o un cunmplimiento bajo respecto a lo esperado, el jefe de la OAP , envía correo electrónico con las alertas respectivas  para que se  realicen las actividades necesarias encaminadas al cumplimiento de lo planeado o al ajustes de la planeación.</t>
  </si>
  <si>
    <t>En caso de que los resultados del Indice de Gestión Institucional presenten una disminución frente a los obtenidos en la vigencia anterior</t>
  </si>
  <si>
    <t>Actas de reunión - Plan de Adecuación ajustado</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</si>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</sst>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9">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b/>
      <sz val="14"/>
      <color theme="1"/>
      <name val="Times New Roman"/>
      <family val="1"/>
    </font>
    <font>
      <sz val="10"/>
      <color rgb="FF000000"/>
      <name val="Times New Roman"/>
    </font>
    <font>
      <u/>
      <sz val="11"/>
      <color theme="10"/>
      <name val="Calibri"/>
      <family val="2"/>
      <scheme val="minor"/>
    </font>
    <font>
      <sz val="10"/>
      <color rgb="FF000000"/>
      <name val="Times New Roman"/>
      <family val="1"/>
    </font>
    <font>
      <u/>
      <sz val="11"/>
      <color theme="1"/>
      <name val="Calibri"/>
      <family val="2"/>
      <scheme val="minor"/>
    </font>
    <font>
      <sz val="10"/>
      <color theme="1"/>
      <name val="Times New Roman"/>
    </font>
    <font>
      <b/>
      <sz val="10"/>
      <color theme="1"/>
      <name val="Times New Roman"/>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n">
        <color rgb="FF000000"/>
      </bottom>
      <diagonal/>
    </border>
    <border>
      <left style="medium">
        <color indexed="64"/>
      </left>
      <right/>
      <top style="thin">
        <color indexed="64"/>
      </top>
      <bottom style="thin">
        <color indexed="64"/>
      </bottom>
      <diagonal/>
    </border>
  </borders>
  <cellStyleXfs count="3">
    <xf numFmtId="0" fontId="0" fillId="0" borderId="0"/>
    <xf numFmtId="41" fontId="6" fillId="0" borderId="0" applyFont="0" applyFill="0" applyBorder="0" applyAlignment="0" applyProtection="0"/>
    <xf numFmtId="0" fontId="14" fillId="0" borderId="0" applyNumberFormat="0" applyFill="0" applyBorder="0" applyAlignment="0" applyProtection="0"/>
  </cellStyleXfs>
  <cellXfs count="212">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28"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29" xfId="0" applyFont="1" applyFill="1" applyBorder="1" applyAlignment="1">
      <alignment horizontal="center" vertical="center" textRotation="90" wrapText="1"/>
    </xf>
    <xf numFmtId="0" fontId="2" fillId="2" borderId="28"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28" xfId="0" applyFont="1" applyFill="1" applyBorder="1" applyAlignment="1">
      <alignment horizontal="center" vertical="center"/>
    </xf>
    <xf numFmtId="0" fontId="2" fillId="0" borderId="16" xfId="0" applyFont="1" applyBorder="1" applyAlignment="1">
      <alignment horizontal="center" vertical="center"/>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1" xfId="0" applyFont="1" applyFill="1" applyBorder="1"/>
    <xf numFmtId="0" fontId="2" fillId="2" borderId="7" xfId="0" applyFont="1" applyFill="1" applyBorder="1"/>
    <xf numFmtId="0" fontId="2" fillId="0" borderId="1" xfId="0" applyFont="1" applyBorder="1" applyAlignment="1">
      <alignment horizontal="justify" vertical="center" wrapText="1"/>
    </xf>
    <xf numFmtId="0" fontId="2" fillId="0" borderId="10"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33" xfId="0" applyFont="1" applyBorder="1" applyAlignment="1">
      <alignment horizontal="center" vertical="center"/>
    </xf>
    <xf numFmtId="0" fontId="2" fillId="0" borderId="6" xfId="0" applyFont="1" applyBorder="1" applyAlignment="1">
      <alignment horizontal="justify" vertical="center" wrapText="1"/>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19" xfId="0" applyFont="1" applyBorder="1" applyAlignment="1">
      <alignment horizontal="left"/>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2" borderId="29" xfId="0" applyFont="1" applyFill="1" applyBorder="1" applyAlignment="1">
      <alignment horizontal="center" vertical="center" wrapText="1"/>
    </xf>
    <xf numFmtId="0" fontId="11" fillId="0" borderId="0" xfId="0" applyFont="1"/>
    <xf numFmtId="0" fontId="4" fillId="0" borderId="0" xfId="0" applyFont="1"/>
    <xf numFmtId="0" fontId="11" fillId="2" borderId="28"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5" xfId="0" applyFont="1" applyBorder="1" applyAlignment="1">
      <alignment horizontal="justify" vertical="center" wrapText="1"/>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6" xfId="0" applyFont="1" applyFill="1" applyBorder="1" applyAlignment="1">
      <alignment vertical="center" textRotation="90"/>
    </xf>
    <xf numFmtId="0" fontId="4" fillId="0" borderId="0" xfId="0" applyFont="1" applyAlignment="1">
      <alignment horizontal="left" vertical="center"/>
    </xf>
    <xf numFmtId="0" fontId="11" fillId="0" borderId="0" xfId="0" applyFont="1" applyAlignment="1">
      <alignment horizontal="left" vertical="center"/>
    </xf>
    <xf numFmtId="0" fontId="14" fillId="0" borderId="0" xfId="2"/>
    <xf numFmtId="0" fontId="2" fillId="3" borderId="10" xfId="0" applyFont="1" applyFill="1" applyBorder="1" applyAlignment="1">
      <alignment horizontal="center" vertical="center" textRotation="90" wrapText="1"/>
    </xf>
    <xf numFmtId="0" fontId="2" fillId="0" borderId="7" xfId="0" applyFont="1" applyBorder="1" applyAlignment="1">
      <alignment horizontal="left"/>
    </xf>
    <xf numFmtId="0" fontId="0" fillId="0" borderId="7" xfId="0" applyBorder="1"/>
    <xf numFmtId="0" fontId="11" fillId="0" borderId="7" xfId="0" applyFont="1" applyBorder="1" applyAlignment="1">
      <alignment horizontal="left" vertical="center"/>
    </xf>
    <xf numFmtId="0" fontId="2" fillId="2" borderId="15" xfId="0" applyFont="1" applyFill="1" applyBorder="1" applyAlignment="1">
      <alignment horizontal="center" vertical="center" textRotation="90" wrapText="1"/>
    </xf>
    <xf numFmtId="0" fontId="16" fillId="0" borderId="0" xfId="0" applyFont="1"/>
    <xf numFmtId="0" fontId="11" fillId="0" borderId="33" xfId="0" applyFont="1" applyBorder="1" applyAlignment="1" applyProtection="1">
      <alignment horizontal="left" vertical="center"/>
      <protection locked="0"/>
    </xf>
    <xf numFmtId="0" fontId="13" fillId="0" borderId="14"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14" fontId="11" fillId="0" borderId="28" xfId="0" applyNumberFormat="1" applyFont="1" applyBorder="1" applyAlignment="1" applyProtection="1">
      <alignment horizontal="left" vertical="center"/>
      <protection locked="0"/>
    </xf>
    <xf numFmtId="0" fontId="11" fillId="0" borderId="32" xfId="0" applyFont="1" applyBorder="1" applyAlignment="1" applyProtection="1">
      <alignment horizontal="left" vertical="center"/>
      <protection locked="0"/>
    </xf>
    <xf numFmtId="0" fontId="11" fillId="0" borderId="33" xfId="0" applyFont="1" applyBorder="1" applyAlignment="1" applyProtection="1">
      <alignment horizontal="left" vertical="center"/>
      <protection locked="0"/>
    </xf>
    <xf numFmtId="0" fontId="13" fillId="0" borderId="37" xfId="0" applyFont="1" applyBorder="1" applyAlignment="1" applyProtection="1">
      <alignment horizontal="left" vertical="center" wrapText="1"/>
      <protection locked="0"/>
    </xf>
    <xf numFmtId="0" fontId="15" fillId="0" borderId="37" xfId="0" applyFont="1" applyBorder="1" applyAlignment="1" applyProtection="1">
      <alignment horizontal="left" vertical="center" wrapText="1"/>
      <protection locked="0"/>
    </xf>
    <xf numFmtId="0" fontId="15" fillId="0" borderId="38" xfId="0" applyFont="1" applyBorder="1" applyAlignment="1" applyProtection="1">
      <alignment horizontal="left" vertical="center" wrapText="1"/>
      <protection locked="0"/>
    </xf>
    <xf numFmtId="0" fontId="13" fillId="0" borderId="35"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9" xfId="0" applyFont="1" applyBorder="1" applyAlignment="1">
      <alignment horizontal="center" vertical="center" wrapText="1"/>
    </xf>
    <xf numFmtId="0" fontId="11" fillId="0" borderId="28" xfId="0" applyFont="1" applyBorder="1" applyAlignment="1" applyProtection="1">
      <alignment horizontal="left" vertical="center"/>
      <protection locked="0"/>
    </xf>
    <xf numFmtId="0" fontId="11" fillId="0" borderId="28" xfId="0" applyFont="1" applyBorder="1" applyAlignment="1" applyProtection="1">
      <alignment horizontal="left" vertical="center" wrapText="1"/>
      <protection locked="0"/>
    </xf>
    <xf numFmtId="0" fontId="11" fillId="0" borderId="32" xfId="0" applyFont="1" applyBorder="1" applyAlignment="1" applyProtection="1">
      <alignment horizontal="left" vertical="center" wrapText="1"/>
      <protection locked="0"/>
    </xf>
    <xf numFmtId="0" fontId="11" fillId="0" borderId="33" xfId="0" applyFont="1" applyBorder="1" applyAlignment="1" applyProtection="1">
      <alignment horizontal="left" vertical="center" wrapText="1"/>
      <protection locked="0"/>
    </xf>
    <xf numFmtId="14" fontId="11" fillId="0" borderId="28" xfId="0" applyNumberFormat="1" applyFont="1" applyBorder="1" applyAlignment="1" applyProtection="1">
      <alignment vertical="center" wrapText="1"/>
      <protection locked="0"/>
    </xf>
    <xf numFmtId="14" fontId="11" fillId="0" borderId="32" xfId="0" applyNumberFormat="1" applyFont="1" applyBorder="1" applyAlignment="1" applyProtection="1">
      <alignment vertical="center" wrapText="1"/>
      <protection locked="0"/>
    </xf>
    <xf numFmtId="0" fontId="11" fillId="0" borderId="32" xfId="0" applyFont="1" applyBorder="1" applyAlignment="1" applyProtection="1">
      <alignment vertical="center" wrapText="1"/>
      <protection locked="0"/>
    </xf>
    <xf numFmtId="0" fontId="17" fillId="0" borderId="35"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9" xfId="0" applyFont="1" applyBorder="1" applyAlignment="1">
      <alignment horizontal="center" vertical="center" wrapText="1"/>
    </xf>
    <xf numFmtId="0" fontId="11" fillId="0" borderId="28" xfId="0" applyFont="1" applyBorder="1" applyAlignment="1" applyProtection="1">
      <alignment horizontal="center" vertical="center" wrapText="1"/>
      <protection locked="0"/>
    </xf>
    <xf numFmtId="0" fontId="11" fillId="0" borderId="32" xfId="0" applyFont="1" applyBorder="1" applyAlignment="1" applyProtection="1">
      <alignment horizontal="center" vertical="center" wrapText="1"/>
      <protection locked="0"/>
    </xf>
    <xf numFmtId="0" fontId="1" fillId="2" borderId="16"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10" xfId="0" applyNumberFormat="1" applyFont="1" applyFill="1" applyBorder="1" applyAlignment="1">
      <alignment horizontal="center" vertical="center"/>
    </xf>
    <xf numFmtId="9" fontId="3" fillId="4" borderId="30"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xf>
    <xf numFmtId="0" fontId="3" fillId="0" borderId="30" xfId="0" applyFont="1" applyBorder="1" applyAlignment="1">
      <alignment horizontal="center" vertical="center"/>
    </xf>
    <xf numFmtId="0" fontId="3" fillId="0" borderId="5" xfId="0" applyFont="1" applyBorder="1" applyAlignment="1">
      <alignment horizontal="center" vertical="center"/>
    </xf>
    <xf numFmtId="0" fontId="3" fillId="4" borderId="10"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5" xfId="0"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30" xfId="0" applyFont="1" applyFill="1" applyBorder="1" applyAlignment="1">
      <alignment horizontal="center" vertical="center" textRotation="90"/>
    </xf>
    <xf numFmtId="9" fontId="3" fillId="0" borderId="9" xfId="0" applyNumberFormat="1" applyFont="1" applyBorder="1" applyAlignment="1">
      <alignment horizontal="center" vertical="center" wrapText="1"/>
    </xf>
    <xf numFmtId="9" fontId="3" fillId="0" borderId="30" xfId="0" applyNumberFormat="1" applyFont="1" applyBorder="1" applyAlignment="1">
      <alignment horizontal="center" vertical="center" wrapText="1"/>
    </xf>
    <xf numFmtId="0" fontId="3" fillId="0" borderId="16" xfId="0" applyFont="1" applyBorder="1" applyAlignment="1">
      <alignment horizontal="center" vertical="center"/>
    </xf>
    <xf numFmtId="0" fontId="3" fillId="0" borderId="32" xfId="0" applyFont="1" applyBorder="1" applyAlignment="1">
      <alignment horizontal="center" vertical="center"/>
    </xf>
    <xf numFmtId="0" fontId="3" fillId="0" borderId="28"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0" xfId="0" applyFont="1" applyAlignment="1">
      <alignment horizontal="center" vertical="center" wrapText="1"/>
    </xf>
    <xf numFmtId="0" fontId="8" fillId="0" borderId="2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3" xfId="0" applyFont="1" applyBorder="1" applyAlignment="1">
      <alignment horizontal="center" vertical="center" wrapText="1"/>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2"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34" xfId="0" applyNumberFormat="1" applyFont="1" applyBorder="1" applyAlignment="1">
      <alignment horizontal="center" vertical="center" wrapText="1"/>
    </xf>
    <xf numFmtId="14" fontId="2" fillId="0" borderId="12"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0" xfId="1" applyFont="1" applyBorder="1" applyAlignment="1">
      <alignment horizontal="center" vertical="center" wrapText="1"/>
    </xf>
    <xf numFmtId="9" fontId="3" fillId="4" borderId="9" xfId="0" applyNumberFormat="1" applyFont="1" applyFill="1" applyBorder="1" applyAlignment="1">
      <alignment horizontal="center" vertical="center"/>
    </xf>
    <xf numFmtId="0" fontId="12" fillId="0" borderId="12" xfId="0" applyFont="1" applyBorder="1" applyAlignment="1">
      <alignment horizontal="center" vertical="center" textRotation="90"/>
    </xf>
    <xf numFmtId="0" fontId="12" fillId="0" borderId="14"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13"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0" borderId="5" xfId="0" applyNumberFormat="1" applyFont="1" applyBorder="1" applyAlignment="1">
      <alignment horizontal="center" vertical="center" wrapText="1"/>
    </xf>
    <xf numFmtId="9" fontId="3" fillId="0" borderId="6" xfId="0" applyNumberFormat="1" applyFont="1" applyBorder="1" applyAlignment="1">
      <alignment horizontal="center" vertical="center" wrapText="1"/>
    </xf>
    <xf numFmtId="41" fontId="3" fillId="0" borderId="5" xfId="1" applyFont="1" applyBorder="1" applyAlignment="1">
      <alignment horizontal="center" vertical="center" wrapText="1"/>
    </xf>
    <xf numFmtId="41" fontId="3" fillId="0" borderId="6" xfId="1" applyFont="1" applyBorder="1" applyAlignment="1">
      <alignment horizontal="center" vertical="center" wrapText="1"/>
    </xf>
    <xf numFmtId="9" fontId="3" fillId="4" borderId="2" xfId="0" applyNumberFormat="1" applyFont="1" applyFill="1" applyBorder="1" applyAlignment="1">
      <alignment horizontal="center" vertical="center"/>
    </xf>
    <xf numFmtId="9" fontId="3" fillId="4" borderId="36" xfId="0" applyNumberFormat="1" applyFont="1" applyFill="1" applyBorder="1" applyAlignment="1">
      <alignment horizontal="center" vertical="center"/>
    </xf>
    <xf numFmtId="9" fontId="3" fillId="4" borderId="25" xfId="0" applyNumberFormat="1" applyFont="1" applyFill="1" applyBorder="1" applyAlignment="1">
      <alignment horizontal="center" vertical="center"/>
    </xf>
    <xf numFmtId="9" fontId="3" fillId="4" borderId="21" xfId="0" applyNumberFormat="1" applyFont="1" applyFill="1" applyBorder="1" applyAlignment="1">
      <alignment horizontal="center" vertical="center"/>
    </xf>
    <xf numFmtId="0" fontId="10" fillId="4" borderId="28"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6" xfId="0" applyFont="1" applyBorder="1" applyAlignment="1">
      <alignment horizontal="center" vertical="center"/>
    </xf>
    <xf numFmtId="0" fontId="1" fillId="0" borderId="23" xfId="0" applyFont="1" applyBorder="1" applyAlignment="1">
      <alignment horizontal="center" vertical="center"/>
    </xf>
    <xf numFmtId="49" fontId="4" fillId="0" borderId="18"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3" xfId="0" applyNumberFormat="1" applyFont="1" applyBorder="1" applyAlignment="1">
      <alignment horizontal="center" vertical="center" wrapText="1"/>
    </xf>
    <xf numFmtId="0" fontId="11" fillId="0" borderId="2" xfId="0" applyFont="1" applyBorder="1" applyAlignment="1" applyProtection="1">
      <alignment horizontal="center" vertical="center" wrapText="1"/>
      <protection locked="0"/>
    </xf>
    <xf numFmtId="0" fontId="17" fillId="0" borderId="40"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14" fontId="1" fillId="0" borderId="18" xfId="0" applyNumberFormat="1" applyFont="1" applyBorder="1" applyAlignment="1">
      <alignment horizontal="center" vertical="center"/>
    </xf>
  </cellXfs>
  <cellStyles count="3">
    <cellStyle name="Hyperlink" xfId="2" xr:uid="{00000000-000B-0000-0000-000008000000}"/>
    <cellStyle name="Millares [0]" xfId="1" builtinId="6"/>
    <cellStyle name="Normal" xfId="0" builtinId="0"/>
  </cellStyles>
  <dxfs count="29">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103150</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87275</xdr:rowOff>
    </xdr:to>
    <xdr:pic>
      <xdr:nvPicPr>
        <xdr:cNvPr id="3" name="Imagen 2">
          <a:extLst>
            <a:ext uri="{FF2B5EF4-FFF2-40B4-BE49-F238E27FC236}">
              <a16:creationId xmlns:a16="http://schemas.microsoft.com/office/drawing/2014/main" id="{5F414A80-CA71-41E2-A151-1DC30B2394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39151E36-DD0E-41E7-87A1-8ABBD55C02CA}"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29T16:39:06.54" personId="{39151E36-DD0E-41E7-87A1-8ABBD55C02CA}" id="{004E5629-BD0E-4948-BE86-4CB5417FF6E9}">
    <text>SE TOMA COMO BASE EL NUMERO DE SEGUIMIENTOS QUE SE REALIZAN EN EL AÑO POR HERRAMIENTAS Riesgos: 3 , PAAC: 3, Plan de Acción: 4, Plan de Mejoramiento: 4, Indicadores: 4</text>
  </threadedComment>
  <threadedComment ref="G20" dT="2022-05-11T12:23:34.03" personId="{39151E36-DD0E-41E7-87A1-8ABBD55C02CA}" id="{24252281-829E-4763-8266-1F662A2789D5}">
    <text>Se toma como base el numero de actividades que conforman el plan de adecuación 2022</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sheetPr codeName="Hoja1"/>
  <dimension ref="A1:AV33"/>
  <sheetViews>
    <sheetView showGridLines="0" tabSelected="1" topLeftCell="Y18" zoomScale="60" zoomScaleNormal="60" zoomScaleSheetLayoutView="90" workbookViewId="0">
      <selection activeCell="AT20" sqref="AT20:AT23"/>
    </sheetView>
  </sheetViews>
  <sheetFormatPr defaultColWidth="11.42578125" defaultRowHeight="15.75"/>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8" width="7.285156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3" width="45" customWidth="1"/>
    <col min="44" max="44" width="1" customWidth="1"/>
    <col min="45" max="46" width="45" customWidth="1"/>
  </cols>
  <sheetData>
    <row r="1" spans="1:46" ht="15.75" customHeight="1">
      <c r="A1" s="141"/>
      <c r="B1" s="142"/>
      <c r="C1" s="147" t="s">
        <v>0</v>
      </c>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9"/>
      <c r="AQ1" s="141" t="s">
        <v>1</v>
      </c>
      <c r="AR1" s="142"/>
      <c r="AS1" s="200" t="s">
        <v>2</v>
      </c>
      <c r="AT1" s="201"/>
    </row>
    <row r="2" spans="1:46" ht="15.75" customHeight="1" thickBot="1">
      <c r="A2" s="143"/>
      <c r="B2" s="144"/>
      <c r="C2" s="150"/>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2"/>
      <c r="AQ2" s="145"/>
      <c r="AR2" s="146"/>
      <c r="AS2" s="202"/>
      <c r="AT2" s="203"/>
    </row>
    <row r="3" spans="1:46" ht="15.75" customHeight="1">
      <c r="A3" s="143"/>
      <c r="B3" s="144"/>
      <c r="C3" s="150"/>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2"/>
      <c r="AQ3" s="141" t="s">
        <v>3</v>
      </c>
      <c r="AR3" s="142"/>
      <c r="AS3" s="204" t="s">
        <v>4</v>
      </c>
      <c r="AT3" s="205"/>
    </row>
    <row r="4" spans="1:46" ht="16.5" customHeight="1" thickBot="1">
      <c r="A4" s="143"/>
      <c r="B4" s="144"/>
      <c r="C4" s="153"/>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c r="AM4" s="154"/>
      <c r="AN4" s="154"/>
      <c r="AO4" s="154"/>
      <c r="AP4" s="155"/>
      <c r="AQ4" s="145"/>
      <c r="AR4" s="146"/>
      <c r="AS4" s="206"/>
      <c r="AT4" s="207"/>
    </row>
    <row r="5" spans="1:46" ht="20.45" customHeight="1">
      <c r="A5" s="143"/>
      <c r="B5" s="144"/>
      <c r="C5" s="150" t="s">
        <v>5</v>
      </c>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2"/>
      <c r="AQ5" s="141" t="s">
        <v>6</v>
      </c>
      <c r="AR5" s="142"/>
      <c r="AS5" s="141" t="s">
        <v>7</v>
      </c>
      <c r="AT5" s="142"/>
    </row>
    <row r="6" spans="1:46" ht="15" customHeight="1" thickBot="1">
      <c r="A6" s="143"/>
      <c r="B6" s="144"/>
      <c r="C6" s="150"/>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2"/>
      <c r="AQ6" s="145"/>
      <c r="AR6" s="146"/>
      <c r="AS6" s="145"/>
      <c r="AT6" s="146"/>
    </row>
    <row r="7" spans="1:46" ht="15.75" customHeight="1">
      <c r="A7" s="143"/>
      <c r="B7" s="144"/>
      <c r="C7" s="150"/>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2"/>
      <c r="AQ7" s="141" t="s">
        <v>8</v>
      </c>
      <c r="AR7" s="142"/>
      <c r="AS7" s="211">
        <v>44651</v>
      </c>
      <c r="AT7" s="201"/>
    </row>
    <row r="8" spans="1:46" ht="16.5" customHeight="1" thickBot="1">
      <c r="A8" s="145"/>
      <c r="B8" s="146"/>
      <c r="C8" s="153"/>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5"/>
      <c r="AQ8" s="145"/>
      <c r="AR8" s="146"/>
      <c r="AS8" s="202"/>
      <c r="AT8" s="203"/>
    </row>
    <row r="10" spans="1:46" ht="54" customHeight="1">
      <c r="A10" s="176" t="s">
        <v>9</v>
      </c>
      <c r="B10" s="176"/>
      <c r="C10" s="176"/>
      <c r="D10" s="177" t="s">
        <v>10</v>
      </c>
      <c r="E10" s="178"/>
      <c r="F10" s="178"/>
      <c r="G10" s="178"/>
      <c r="H10" s="178"/>
      <c r="I10" s="178"/>
      <c r="J10" s="178"/>
      <c r="K10" s="178"/>
      <c r="L10" s="178"/>
      <c r="M10" s="179"/>
      <c r="N10" s="26"/>
      <c r="AG10" s="1"/>
      <c r="AH10" s="1"/>
      <c r="AI10" s="1"/>
    </row>
    <row r="11" spans="1:46" s="3" customFormat="1" ht="75" customHeight="1">
      <c r="A11" s="176" t="s">
        <v>11</v>
      </c>
      <c r="B11" s="176"/>
      <c r="C11" s="176"/>
      <c r="D11" s="180" t="s">
        <v>12</v>
      </c>
      <c r="E11" s="181"/>
      <c r="F11" s="181"/>
      <c r="G11" s="181"/>
      <c r="H11" s="181"/>
      <c r="I11" s="181"/>
      <c r="J11" s="181"/>
      <c r="K11" s="181"/>
      <c r="L11" s="181"/>
      <c r="M11" s="182"/>
      <c r="N11" s="27"/>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75" customHeight="1">
      <c r="A12" s="176" t="s">
        <v>13</v>
      </c>
      <c r="B12" s="176"/>
      <c r="C12" s="176"/>
      <c r="D12" s="180" t="s">
        <v>14</v>
      </c>
      <c r="E12" s="181"/>
      <c r="F12" s="181"/>
      <c r="G12" s="181"/>
      <c r="H12" s="181"/>
      <c r="I12" s="181"/>
      <c r="J12" s="181"/>
      <c r="K12" s="181"/>
      <c r="L12" s="181"/>
      <c r="M12" s="182"/>
      <c r="N12" s="27"/>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04" t="s">
        <v>15</v>
      </c>
      <c r="B14" s="105"/>
      <c r="C14" s="105"/>
      <c r="D14" s="105"/>
      <c r="E14" s="105"/>
      <c r="F14" s="105"/>
      <c r="G14" s="105"/>
      <c r="H14" s="105"/>
      <c r="I14" s="105"/>
      <c r="J14" s="105"/>
      <c r="K14" s="105"/>
      <c r="L14" s="105"/>
      <c r="M14" s="105"/>
      <c r="N14" s="106"/>
      <c r="O14" s="107"/>
      <c r="P14" s="2"/>
      <c r="Q14" s="112" t="s">
        <v>16</v>
      </c>
      <c r="R14" s="113"/>
      <c r="S14" s="113"/>
      <c r="T14" s="114"/>
      <c r="U14" s="114"/>
      <c r="V14" s="114"/>
      <c r="W14" s="114"/>
      <c r="X14" s="114"/>
      <c r="Y14" s="114"/>
      <c r="Z14" s="113"/>
      <c r="AA14" s="113"/>
      <c r="AB14" s="113"/>
      <c r="AC14" s="113"/>
      <c r="AD14" s="113"/>
      <c r="AE14" s="113"/>
      <c r="AF14" s="113"/>
      <c r="AG14" s="115"/>
      <c r="AH14" s="2"/>
      <c r="AI14" s="156" t="s">
        <v>17</v>
      </c>
      <c r="AJ14" s="157"/>
      <c r="AK14" s="158"/>
      <c r="AM14" s="156" t="s">
        <v>18</v>
      </c>
      <c r="AN14" s="157"/>
      <c r="AO14" s="157"/>
      <c r="AP14" s="157"/>
      <c r="AQ14" s="157"/>
      <c r="AR14" s="41"/>
      <c r="AS14" s="156" t="s">
        <v>19</v>
      </c>
      <c r="AT14" s="158"/>
    </row>
    <row r="15" spans="1:46">
      <c r="A15" s="108"/>
      <c r="B15" s="109"/>
      <c r="C15" s="109"/>
      <c r="D15" s="109"/>
      <c r="E15" s="109"/>
      <c r="F15" s="109"/>
      <c r="G15" s="109"/>
      <c r="H15" s="109"/>
      <c r="I15" s="109"/>
      <c r="J15" s="109"/>
      <c r="K15" s="109"/>
      <c r="L15" s="109"/>
      <c r="M15" s="109"/>
      <c r="N15" s="110"/>
      <c r="O15" s="111"/>
      <c r="P15" s="2"/>
      <c r="Q15" s="28"/>
      <c r="R15" s="29"/>
      <c r="S15" s="29"/>
      <c r="T15" s="118" t="s">
        <v>20</v>
      </c>
      <c r="U15" s="118"/>
      <c r="V15" s="118"/>
      <c r="W15" s="118"/>
      <c r="X15" s="118"/>
      <c r="Y15" s="118"/>
      <c r="Z15" s="116"/>
      <c r="AA15" s="116"/>
      <c r="AB15" s="116"/>
      <c r="AC15" s="116"/>
      <c r="AD15" s="116"/>
      <c r="AE15" s="116"/>
      <c r="AF15" s="116"/>
      <c r="AG15" s="117"/>
      <c r="AH15" s="2"/>
      <c r="AI15" s="159"/>
      <c r="AJ15" s="160"/>
      <c r="AK15" s="161"/>
      <c r="AM15" s="159"/>
      <c r="AN15" s="160"/>
      <c r="AO15" s="160"/>
      <c r="AP15" s="160"/>
      <c r="AQ15" s="160"/>
      <c r="AR15" s="41"/>
      <c r="AS15" s="159"/>
      <c r="AT15" s="161"/>
    </row>
    <row r="16" spans="1:46" s="5" customFormat="1" ht="106.5" customHeight="1" thickBot="1">
      <c r="A16" s="10" t="s">
        <v>21</v>
      </c>
      <c r="B16" s="11" t="s">
        <v>22</v>
      </c>
      <c r="C16" s="12" t="s">
        <v>23</v>
      </c>
      <c r="D16" s="12" t="s">
        <v>24</v>
      </c>
      <c r="E16" s="13" t="s">
        <v>25</v>
      </c>
      <c r="F16" s="21" t="s">
        <v>26</v>
      </c>
      <c r="G16" s="45" t="s">
        <v>27</v>
      </c>
      <c r="H16" s="13" t="s">
        <v>28</v>
      </c>
      <c r="I16" s="12" t="s">
        <v>29</v>
      </c>
      <c r="J16" s="12" t="s">
        <v>30</v>
      </c>
      <c r="K16" s="13" t="s">
        <v>31</v>
      </c>
      <c r="L16" s="13" t="s">
        <v>32</v>
      </c>
      <c r="M16" s="12" t="s">
        <v>29</v>
      </c>
      <c r="N16" s="12" t="s">
        <v>33</v>
      </c>
      <c r="O16" s="14" t="s">
        <v>34</v>
      </c>
      <c r="P16" s="2"/>
      <c r="Q16" s="15" t="s">
        <v>35</v>
      </c>
      <c r="R16" s="16" t="s">
        <v>36</v>
      </c>
      <c r="S16" s="32" t="s">
        <v>37</v>
      </c>
      <c r="T16" s="17" t="s">
        <v>38</v>
      </c>
      <c r="U16" s="17" t="s">
        <v>39</v>
      </c>
      <c r="V16" s="17" t="s">
        <v>40</v>
      </c>
      <c r="W16" s="17" t="s">
        <v>41</v>
      </c>
      <c r="X16" s="17" t="s">
        <v>42</v>
      </c>
      <c r="Y16" s="17" t="s">
        <v>43</v>
      </c>
      <c r="Z16" s="18" t="s">
        <v>44</v>
      </c>
      <c r="AA16" s="18" t="s">
        <v>45</v>
      </c>
      <c r="AB16" s="18" t="s">
        <v>29</v>
      </c>
      <c r="AC16" s="18" t="s">
        <v>46</v>
      </c>
      <c r="AD16" s="18" t="s">
        <v>29</v>
      </c>
      <c r="AE16" s="18" t="s">
        <v>33</v>
      </c>
      <c r="AF16" s="18" t="s">
        <v>47</v>
      </c>
      <c r="AG16" s="77" t="s">
        <v>48</v>
      </c>
      <c r="AH16" s="2"/>
      <c r="AI16" s="19" t="s">
        <v>49</v>
      </c>
      <c r="AJ16" s="16" t="s">
        <v>50</v>
      </c>
      <c r="AK16" s="40" t="s">
        <v>51</v>
      </c>
      <c r="AM16" s="43" t="s">
        <v>52</v>
      </c>
      <c r="AN16" s="43" t="s">
        <v>53</v>
      </c>
      <c r="AO16" s="43" t="s">
        <v>54</v>
      </c>
      <c r="AP16" s="43" t="s">
        <v>55</v>
      </c>
      <c r="AQ16" s="43" t="s">
        <v>56</v>
      </c>
      <c r="AR16" s="42"/>
      <c r="AS16" s="43" t="s">
        <v>57</v>
      </c>
      <c r="AT16" s="44" t="s">
        <v>58</v>
      </c>
    </row>
    <row r="17" spans="1:48" ht="242.25" customHeight="1">
      <c r="A17" s="138">
        <v>1</v>
      </c>
      <c r="B17" s="128" t="s">
        <v>59</v>
      </c>
      <c r="C17" s="125" t="s">
        <v>60</v>
      </c>
      <c r="D17" s="125" t="s">
        <v>61</v>
      </c>
      <c r="E17" s="125" t="s">
        <v>62</v>
      </c>
      <c r="F17" s="122"/>
      <c r="G17" s="128">
        <v>18</v>
      </c>
      <c r="H17" s="131" t="str">
        <f>IF(G17&lt;=0,"",IF(G17&lt;=2,"Muy Baja",IF(G17&lt;=24,"Baja",IF(G17&lt;=500,"Media",IF(G17&lt;=5000,"Alta","Muy Alta")))))</f>
        <v>Baja</v>
      </c>
      <c r="I17" s="119">
        <f>IF(H17="","",IF(H17="Muy Baja",0.2,IF(H17="Baja",0.4,IF(H17="Media",0.6,IF(H17="Alta",0.8,IF(H17="Muy Alta",1,))))))</f>
        <v>0.4</v>
      </c>
      <c r="J17" s="136" t="s">
        <v>63</v>
      </c>
      <c r="K17" s="171" t="str">
        <f>+J17</f>
        <v>El riesgo afecta la imagen de la entidad internamente, de conocimiento general nivel interno, de junta directiva y/o de proveedores</v>
      </c>
      <c r="L17" s="131" t="str">
        <f>+VLOOKUP(K17,Datos!$O$4:$P$15,2,FALSE)</f>
        <v>Menor</v>
      </c>
      <c r="M17" s="119">
        <f>IF(L17="","",IF(L17="Leve",0.2,IF(L17="Menor",0.4,IF(L17="Moderado",0.6,IF(L17="Mayor",0.8,IF(L17="Catastrófico",1,))))))</f>
        <v>0.4</v>
      </c>
      <c r="N17" s="173" t="str">
        <f>+CONCATENATE(H17, " - ", L17)</f>
        <v>Baja - Menor</v>
      </c>
      <c r="O17" s="134" t="str">
        <f>+VLOOKUP(N17,Datos!J4:K28,2,)</f>
        <v>MODERADO</v>
      </c>
      <c r="P17" s="37"/>
      <c r="Q17" s="20">
        <v>1</v>
      </c>
      <c r="R17" s="31" t="s">
        <v>64</v>
      </c>
      <c r="S17" s="49" t="str">
        <f>IF(OR(T17="Preventivo",T17="Detectivo"),"Probabilidad",IF(T17="Correctivo","Impacto",""))</f>
        <v>Probabilidad</v>
      </c>
      <c r="T17" s="38" t="s">
        <v>65</v>
      </c>
      <c r="U17" s="38" t="s">
        <v>66</v>
      </c>
      <c r="V17" s="52" t="str">
        <f t="shared" ref="V17:V19" si="0">IF(AND(T17="Preventivo",U17="Automático"),"50%",IF(AND(T17="Preventivo",U17="Manual"),"40%",IF(AND(T17="Detectivo",U17="Automático"),"40%",IF(AND(T17="Detectivo",U17="Manual"),"30%",IF(AND(T17="Correctivo",U17="Automático"),"35%",IF(AND(T17="Correctivo",U17="Manual"),"25%",""))))))</f>
        <v>30%</v>
      </c>
      <c r="W17" s="73" t="s">
        <v>67</v>
      </c>
      <c r="X17" s="39" t="s">
        <v>68</v>
      </c>
      <c r="Y17" s="39" t="s">
        <v>69</v>
      </c>
      <c r="Z17" s="55">
        <f>IFERROR(IF(S17="Probabilidad",(I17-(+I17*V17)),IF(S17="Impacto",I17,"")),"")</f>
        <v>0.28000000000000003</v>
      </c>
      <c r="AA17" s="56" t="str">
        <f t="shared" ref="AA17:AA22" si="1">IFERROR(IF(Z17="","",IF(Z17&lt;=0.2,"Muy Baja",IF(Z17&lt;=0.4,"Baja",IF(Z17&lt;=0.6,"Media",IF(Z17&lt;=0.8,"Alta","Muy Alta"))))),"")</f>
        <v>Baja</v>
      </c>
      <c r="AB17" s="55">
        <f t="shared" ref="AB17:AB22" si="2">+Z17</f>
        <v>0.28000000000000003</v>
      </c>
      <c r="AC17" s="57" t="str">
        <f t="shared" ref="AC17:AC22" si="3">IFERROR(IF(AD17="","",IF(AD17&lt;=0.2,"Leve",IF(AD17&lt;=0.4,"Menor",IF(AD17&lt;=0.6,"Moderado",IF(AD17&lt;=0.8,"Mayor","Catastrófico"))))),"")</f>
        <v>Menor</v>
      </c>
      <c r="AD17" s="55">
        <f>IFERROR(IF(S17="Impacto",(M17-(+M17*V17)),IF(S17="Probabilidad",M17,"")),"")</f>
        <v>0.4</v>
      </c>
      <c r="AE17" s="58" t="str">
        <f>+CONCATENATE(AA17, " - ", AC17)</f>
        <v>Baja - Menor</v>
      </c>
      <c r="AF17" s="67" t="str">
        <f>+VLOOKUP(AE17,Datos!$J$4:$K$28,2,)</f>
        <v>MODERADO</v>
      </c>
      <c r="AG17" s="174" t="s">
        <v>70</v>
      </c>
      <c r="AH17" s="37"/>
      <c r="AI17" s="162" t="s">
        <v>71</v>
      </c>
      <c r="AJ17" s="165"/>
      <c r="AK17" s="168"/>
      <c r="AM17" s="96" t="s">
        <v>72</v>
      </c>
      <c r="AN17" s="99" t="s">
        <v>73</v>
      </c>
      <c r="AO17" s="102" t="s">
        <v>74</v>
      </c>
      <c r="AP17" s="89" t="s">
        <v>75</v>
      </c>
      <c r="AQ17" s="92" t="s">
        <v>76</v>
      </c>
      <c r="AR17" s="70"/>
      <c r="AS17" s="209" t="s">
        <v>77</v>
      </c>
      <c r="AT17" s="80" t="s">
        <v>78</v>
      </c>
    </row>
    <row r="18" spans="1:48" ht="242.25" customHeight="1">
      <c r="A18" s="139"/>
      <c r="B18" s="129"/>
      <c r="C18" s="126"/>
      <c r="D18" s="126"/>
      <c r="E18" s="126"/>
      <c r="F18" s="123"/>
      <c r="G18" s="129"/>
      <c r="H18" s="132"/>
      <c r="I18" s="120"/>
      <c r="J18" s="137"/>
      <c r="K18" s="172"/>
      <c r="L18" s="132"/>
      <c r="M18" s="120"/>
      <c r="N18" s="120"/>
      <c r="O18" s="135"/>
      <c r="P18" s="2"/>
      <c r="Q18" s="33">
        <v>2</v>
      </c>
      <c r="R18" s="34" t="s">
        <v>79</v>
      </c>
      <c r="S18" s="50" t="str">
        <f t="shared" ref="S18" si="4">IF(OR(T18="Preventivo",T18="Detectivo"),"Probabilidad",IF(T18="Correctivo","Impacto",""))</f>
        <v>Probabilidad</v>
      </c>
      <c r="T18" s="6" t="s">
        <v>65</v>
      </c>
      <c r="U18" s="6" t="s">
        <v>66</v>
      </c>
      <c r="V18" s="53" t="str">
        <f t="shared" si="0"/>
        <v>30%</v>
      </c>
      <c r="W18" s="73" t="s">
        <v>80</v>
      </c>
      <c r="X18" s="9" t="s">
        <v>81</v>
      </c>
      <c r="Y18" s="9" t="s">
        <v>82</v>
      </c>
      <c r="Z18" s="59">
        <f>IFERROR(IF(AND(S17="Probabilidad",S18="Probabilidad"),(AB17-(+AB17*V18)),IF(S18="Probabilidad",(I17-(+I17*V18)),IF(S18="Impacto",AB17,""))),"")</f>
        <v>0.19600000000000001</v>
      </c>
      <c r="AA18" s="60" t="str">
        <f t="shared" ref="AA18" si="5">IFERROR(IF(Z18="","",IF(Z18&lt;=0.2,"Muy Baja",IF(Z18&lt;=0.4,"Baja",IF(Z18&lt;=0.6,"Media",IF(Z18&lt;=0.8,"Alta","Muy Alta"))))),"")</f>
        <v>Muy Baja</v>
      </c>
      <c r="AB18" s="59">
        <f t="shared" ref="AB18" si="6">+Z18</f>
        <v>0.19600000000000001</v>
      </c>
      <c r="AC18" s="61" t="str">
        <f t="shared" ref="AC18" si="7">IFERROR(IF(AD18="","",IF(AD18&lt;=0.2,"Leve",IF(AD18&lt;=0.4,"Menor",IF(AD18&lt;=0.6,"Moderado",IF(AD18&lt;=0.8,"Mayor","Catastrófico"))))),"")</f>
        <v>Menor</v>
      </c>
      <c r="AD18" s="59">
        <f>IFERROR(IF(AND(S17="Impacto",S17="Impacto"),(AD17-(+AD17*V18)),IF(S18="Impacto",(M17-(+M17*V18)),IF(S18="Probabilidad",AD17,""))),"")</f>
        <v>0.4</v>
      </c>
      <c r="AE18" s="62" t="str">
        <f t="shared" ref="AE18" si="8">+CONCATENATE(AA18, " - ", AC18)</f>
        <v>Muy Baja - Menor</v>
      </c>
      <c r="AF18" s="68" t="str">
        <f>+VLOOKUP(AE18,Datos!$J$4:$K$28,2,)</f>
        <v>BAJO</v>
      </c>
      <c r="AG18" s="175"/>
      <c r="AH18" s="2"/>
      <c r="AI18" s="163"/>
      <c r="AJ18" s="166"/>
      <c r="AK18" s="169"/>
      <c r="AM18" s="97"/>
      <c r="AN18" s="100"/>
      <c r="AO18" s="103"/>
      <c r="AP18" s="90"/>
      <c r="AQ18" s="84"/>
      <c r="AR18" s="70"/>
      <c r="AS18" s="210"/>
      <c r="AT18" s="81"/>
    </row>
    <row r="19" spans="1:48" ht="198.75" customHeight="1">
      <c r="A19" s="140"/>
      <c r="B19" s="130"/>
      <c r="C19" s="127"/>
      <c r="D19" s="127"/>
      <c r="E19" s="127"/>
      <c r="F19" s="124"/>
      <c r="G19" s="130"/>
      <c r="H19" s="133"/>
      <c r="I19" s="121"/>
      <c r="J19" s="137"/>
      <c r="K19" s="172"/>
      <c r="L19" s="133"/>
      <c r="M19" s="121"/>
      <c r="N19" s="120"/>
      <c r="O19" s="135"/>
      <c r="P19" s="2"/>
      <c r="Q19" s="8">
        <v>3</v>
      </c>
      <c r="R19" s="30" t="s">
        <v>83</v>
      </c>
      <c r="S19" s="50" t="str">
        <f t="shared" ref="S19:S21" si="9">IF(OR(T19="Preventivo",T19="Detectivo"),"Probabilidad",IF(T19="Correctivo","Impacto",""))</f>
        <v>Impacto</v>
      </c>
      <c r="T19" s="6" t="s">
        <v>84</v>
      </c>
      <c r="U19" s="6" t="s">
        <v>66</v>
      </c>
      <c r="V19" s="53" t="str">
        <f t="shared" si="0"/>
        <v>25%</v>
      </c>
      <c r="W19" s="73" t="s">
        <v>67</v>
      </c>
      <c r="X19" s="9" t="s">
        <v>85</v>
      </c>
      <c r="Y19" s="9" t="s">
        <v>86</v>
      </c>
      <c r="Z19" s="59">
        <f>IFERROR(IF(AND(S18="Probabilidad",S19="Probabilidad"),(AB18-(+AB18*V19)),IF(S19="Probabilidad",(I17-(+I17*V19)),IF(S19="Impacto",AB18,""))),"")</f>
        <v>0.19600000000000001</v>
      </c>
      <c r="AA19" s="60" t="str">
        <f t="shared" si="1"/>
        <v>Muy Baja</v>
      </c>
      <c r="AB19" s="59">
        <f t="shared" si="2"/>
        <v>0.19600000000000001</v>
      </c>
      <c r="AC19" s="61" t="str">
        <f t="shared" si="3"/>
        <v>Menor</v>
      </c>
      <c r="AD19" s="59">
        <f>IFERROR(IF(AND(S17="Impacto",S17="Impacto"),(AD17-(+AD17*V19)),IF(S19="Impacto",(M17-(+M17*V19)),IF(S19="Probabilidad",AD17,""))),"")</f>
        <v>0.30000000000000004</v>
      </c>
      <c r="AE19" s="62" t="str">
        <f t="shared" ref="AE19" si="10">+CONCATENATE(AA19, " - ", AC19)</f>
        <v>Muy Baja - Menor</v>
      </c>
      <c r="AF19" s="68" t="str">
        <f>+VLOOKUP(AE19,Datos!$J$4:$K$28,2,)</f>
        <v>BAJO</v>
      </c>
      <c r="AG19" s="175"/>
      <c r="AH19" s="2"/>
      <c r="AI19" s="164"/>
      <c r="AJ19" s="167"/>
      <c r="AK19" s="170"/>
      <c r="AM19" s="98"/>
      <c r="AN19" s="101"/>
      <c r="AO19" s="103"/>
      <c r="AP19" s="91"/>
      <c r="AQ19" s="84"/>
      <c r="AR19" s="71"/>
      <c r="AS19" s="210"/>
      <c r="AT19" s="81"/>
    </row>
    <row r="20" spans="1:48" ht="186.75" customHeight="1">
      <c r="A20" s="183">
        <v>2</v>
      </c>
      <c r="B20" s="184" t="s">
        <v>59</v>
      </c>
      <c r="C20" s="185" t="s">
        <v>87</v>
      </c>
      <c r="D20" s="185" t="s">
        <v>88</v>
      </c>
      <c r="E20" s="185" t="s">
        <v>89</v>
      </c>
      <c r="F20" s="186"/>
      <c r="G20" s="184">
        <v>122</v>
      </c>
      <c r="H20" s="187" t="str">
        <f>IF(G20&lt;=0,"",IF(G20&lt;=2,"Muy Baja",IF(G20&lt;=24,"Baja",IF(G20&lt;=500,"Media",IF(G20&lt;=5000,"Alta","Muy Alta")))))</f>
        <v>Media</v>
      </c>
      <c r="I20" s="188">
        <f>IF(H20="","",IF(H20="Muy Baja",0.2,IF(H20="Baja",0.4,IF(H20="Media",0.6,IF(H20="Alta",0.8,IF(H20="Muy Alta",1,))))))</f>
        <v>0.6</v>
      </c>
      <c r="J20" s="189" t="s">
        <v>90</v>
      </c>
      <c r="K20" s="191" t="str">
        <f>+J20</f>
        <v>El riesgo afecta la imagen de la entidad con algunos usuarios de relevancia frente al logro de los objetivos.</v>
      </c>
      <c r="L20" s="187" t="str">
        <f>+VLOOKUP(K20,Datos!$O$4:$P$15,2,FALSE)</f>
        <v>Moderado</v>
      </c>
      <c r="M20" s="193">
        <f>IF(L20="","",IF(L20="Leve",0.2,IF(L20="Menor",0.4,IF(L20="Moderado",0.6,IF(L20="Mayor",0.8,IF(L20="Catastrófico",1,))))))</f>
        <v>0.6</v>
      </c>
      <c r="N20" s="194" t="str">
        <f>+CONCATENATE(H20, " - ", L20)</f>
        <v>Media - Moderado</v>
      </c>
      <c r="O20" s="197" t="str">
        <f>+VLOOKUP(N20,Datos!J10:K34,2,)</f>
        <v>MODERADO</v>
      </c>
      <c r="P20" s="2"/>
      <c r="Q20" s="33">
        <v>1</v>
      </c>
      <c r="R20" s="30" t="s">
        <v>91</v>
      </c>
      <c r="S20" s="51" t="str">
        <f t="shared" si="9"/>
        <v>Probabilidad</v>
      </c>
      <c r="T20" s="35" t="s">
        <v>92</v>
      </c>
      <c r="U20" s="35" t="s">
        <v>66</v>
      </c>
      <c r="V20" s="54" t="str">
        <f t="shared" ref="V20:V21" si="11">IF(AND(T20="Preventivo",U20="Automático"),"50%",IF(AND(T20="Preventivo",U20="Manual"),"40%",IF(AND(T20="Detectivo",U20="Automático"),"40%",IF(AND(T20="Detectivo",U20="Manual"),"30%",IF(AND(T20="Correctivo",U20="Automático"),"35%",IF(AND(T20="Correctivo",U20="Manual"),"25%",""))))))</f>
        <v>40%</v>
      </c>
      <c r="W20" s="73" t="s">
        <v>67</v>
      </c>
      <c r="X20" s="36" t="s">
        <v>93</v>
      </c>
      <c r="Y20" s="9" t="s">
        <v>94</v>
      </c>
      <c r="Z20" s="63">
        <f>IFERROR(IF(S20="Probabilidad",(I20-(+I20*V20)),IF(S20="Impacto",I20,"")),"")</f>
        <v>0.36</v>
      </c>
      <c r="AA20" s="64" t="str">
        <f t="shared" si="1"/>
        <v>Baja</v>
      </c>
      <c r="AB20" s="63">
        <f t="shared" si="2"/>
        <v>0.36</v>
      </c>
      <c r="AC20" s="65" t="str">
        <f t="shared" si="3"/>
        <v>Moderado</v>
      </c>
      <c r="AD20" s="63">
        <f>IFERROR(IF(S20="Impacto",(M20-(+M20*V20)),IF(S20="Probabilidad",M20,"")),"")</f>
        <v>0.6</v>
      </c>
      <c r="AE20" s="66" t="str">
        <f>+CONCATENATE(AA20, " - ", AC20)</f>
        <v>Baja - Moderado</v>
      </c>
      <c r="AF20" s="69" t="str">
        <f>+VLOOKUP(AE20,Datos!$J$4:$K$28,2,)</f>
        <v>MODERADO</v>
      </c>
      <c r="AG20" s="174" t="s">
        <v>95</v>
      </c>
      <c r="AH20" s="2"/>
      <c r="AI20" s="163" t="s">
        <v>96</v>
      </c>
      <c r="AJ20" s="166" t="s">
        <v>97</v>
      </c>
      <c r="AK20" s="169">
        <v>45473</v>
      </c>
      <c r="AM20" s="83" t="s">
        <v>72</v>
      </c>
      <c r="AN20" s="86" t="s">
        <v>98</v>
      </c>
      <c r="AO20" s="93" t="s">
        <v>99</v>
      </c>
      <c r="AP20" s="89" t="s">
        <v>75</v>
      </c>
      <c r="AQ20" s="92" t="s">
        <v>76</v>
      </c>
      <c r="AR20" s="71"/>
      <c r="AS20" s="208" t="s">
        <v>100</v>
      </c>
      <c r="AT20" s="80" t="s">
        <v>101</v>
      </c>
    </row>
    <row r="21" spans="1:48" ht="209.25" customHeight="1">
      <c r="A21" s="183"/>
      <c r="B21" s="184"/>
      <c r="C21" s="185"/>
      <c r="D21" s="185"/>
      <c r="E21" s="185"/>
      <c r="F21" s="186"/>
      <c r="G21" s="184"/>
      <c r="H21" s="187"/>
      <c r="I21" s="188"/>
      <c r="J21" s="137"/>
      <c r="K21" s="172"/>
      <c r="L21" s="187"/>
      <c r="M21" s="193"/>
      <c r="N21" s="195"/>
      <c r="O21" s="198"/>
      <c r="P21" s="2"/>
      <c r="Q21" s="8">
        <v>2</v>
      </c>
      <c r="R21" s="46" t="s">
        <v>102</v>
      </c>
      <c r="S21" s="50" t="str">
        <f t="shared" si="9"/>
        <v>Probabilidad</v>
      </c>
      <c r="T21" s="6" t="s">
        <v>92</v>
      </c>
      <c r="U21" s="6" t="s">
        <v>66</v>
      </c>
      <c r="V21" s="53" t="str">
        <f t="shared" si="11"/>
        <v>40%</v>
      </c>
      <c r="W21" s="73" t="s">
        <v>67</v>
      </c>
      <c r="X21" s="9" t="s">
        <v>103</v>
      </c>
      <c r="Y21" s="9" t="s">
        <v>94</v>
      </c>
      <c r="Z21" s="59">
        <f>IFERROR(IF(AND(S20="Probabilidad",S21="Probabilidad"),(AB20-(+AB20*V21)),IF(S21="Probabilidad",(I20-(+I20*V21)),IF(S21="Impacto",AB20,""))),"")</f>
        <v>0.216</v>
      </c>
      <c r="AA21" s="60" t="str">
        <f t="shared" si="1"/>
        <v>Baja</v>
      </c>
      <c r="AB21" s="59">
        <f t="shared" si="2"/>
        <v>0.216</v>
      </c>
      <c r="AC21" s="61" t="str">
        <f t="shared" si="3"/>
        <v>Moderado</v>
      </c>
      <c r="AD21" s="59">
        <f>IFERROR(IF(AND(S20="Impacto",S20="Impacto"),(AD20-(+AD20*V21)),IF(S21="Impacto",(M20-(+M20*V21)),IF(S21="Probabilidad",AD20,""))),"")</f>
        <v>0.6</v>
      </c>
      <c r="AE21" s="62" t="str">
        <f t="shared" ref="AE21:AE22" si="12">+CONCATENATE(AA21, " - ", AC21)</f>
        <v>Baja - Moderado</v>
      </c>
      <c r="AF21" s="68" t="str">
        <f>+VLOOKUP(AE21,Datos!$J$4:$K$28,2,)</f>
        <v>MODERADO</v>
      </c>
      <c r="AG21" s="175"/>
      <c r="AH21" s="2"/>
      <c r="AI21" s="163"/>
      <c r="AJ21" s="166"/>
      <c r="AK21" s="169"/>
      <c r="AM21" s="84"/>
      <c r="AN21" s="87"/>
      <c r="AO21" s="94"/>
      <c r="AP21" s="90"/>
      <c r="AQ21" s="84"/>
      <c r="AR21" s="71"/>
      <c r="AS21" s="208"/>
      <c r="AT21" s="81"/>
    </row>
    <row r="22" spans="1:48" ht="215.25" customHeight="1">
      <c r="A22" s="183"/>
      <c r="B22" s="184"/>
      <c r="C22" s="185"/>
      <c r="D22" s="185"/>
      <c r="E22" s="185"/>
      <c r="F22" s="186"/>
      <c r="G22" s="184"/>
      <c r="H22" s="187"/>
      <c r="I22" s="188"/>
      <c r="J22" s="137"/>
      <c r="K22" s="172"/>
      <c r="L22" s="187"/>
      <c r="M22" s="193"/>
      <c r="N22" s="195"/>
      <c r="O22" s="198"/>
      <c r="P22" s="2"/>
      <c r="Q22" s="8">
        <v>3</v>
      </c>
      <c r="R22" s="30" t="s">
        <v>104</v>
      </c>
      <c r="S22" s="50" t="str">
        <f t="shared" ref="S22:S23" si="13">IF(OR(T22="Preventivo",T22="Detectivo"),"Probabilidad",IF(T22="Correctivo","Impacto",""))</f>
        <v>Impacto</v>
      </c>
      <c r="T22" s="47" t="s">
        <v>84</v>
      </c>
      <c r="U22" s="47" t="s">
        <v>66</v>
      </c>
      <c r="V22" s="53" t="str">
        <f t="shared" ref="V22:V23" si="14">IF(AND(T22="Preventivo",U22="Automático"),"50%",IF(AND(T22="Preventivo",U22="Manual"),"40%",IF(AND(T22="Detectivo",U22="Automático"),"40%",IF(AND(T22="Detectivo",U22="Manual"),"30%",IF(AND(T22="Correctivo",U22="Automático"),"35%",IF(AND(T22="Correctivo",U22="Manual"),"25%",""))))))</f>
        <v>25%</v>
      </c>
      <c r="W22" s="73" t="s">
        <v>67</v>
      </c>
      <c r="X22" s="48" t="s">
        <v>105</v>
      </c>
      <c r="Y22" s="48" t="s">
        <v>106</v>
      </c>
      <c r="Z22" s="59">
        <f>IFERROR(IF(AND(S21="Probabilidad",S22="Probabilidad"),(AB21-(+AB21*V22)),IF(S22="Probabilidad",(I20-(+I20*V22)),IF(S22="Impacto",AB21,""))),"")</f>
        <v>0.216</v>
      </c>
      <c r="AA22" s="60" t="str">
        <f t="shared" si="1"/>
        <v>Baja</v>
      </c>
      <c r="AB22" s="59">
        <f t="shared" si="2"/>
        <v>0.216</v>
      </c>
      <c r="AC22" s="61" t="str">
        <f t="shared" si="3"/>
        <v>Moderado</v>
      </c>
      <c r="AD22" s="59">
        <f>IFERROR(IF(AND(S21="Impacto",S21="Impacto"),(AD21-(+AD21*V22)),IF(S22="Impacto",(M20-(+M20*V22)),IF(S22="Probabilidad",AD21,""))),"")</f>
        <v>0.44999999999999996</v>
      </c>
      <c r="AE22" s="62" t="str">
        <f t="shared" si="12"/>
        <v>Baja - Moderado</v>
      </c>
      <c r="AF22" s="68" t="str">
        <f>+VLOOKUP(AE22,Datos!$J$4:$K$28,2,)</f>
        <v>MODERADO</v>
      </c>
      <c r="AG22" s="175"/>
      <c r="AH22" s="2"/>
      <c r="AI22" s="163"/>
      <c r="AJ22" s="166"/>
      <c r="AK22" s="169"/>
      <c r="AM22" s="84"/>
      <c r="AN22" s="87"/>
      <c r="AO22" s="94"/>
      <c r="AP22" s="91"/>
      <c r="AQ22" s="84"/>
      <c r="AR22" s="71"/>
      <c r="AS22" s="208"/>
      <c r="AT22" s="81"/>
    </row>
    <row r="23" spans="1:48" ht="215.25" customHeight="1">
      <c r="A23" s="183"/>
      <c r="B23" s="184"/>
      <c r="C23" s="185"/>
      <c r="D23" s="185"/>
      <c r="E23" s="185"/>
      <c r="F23" s="186"/>
      <c r="G23" s="184"/>
      <c r="H23" s="187"/>
      <c r="I23" s="188"/>
      <c r="J23" s="190"/>
      <c r="K23" s="192"/>
      <c r="L23" s="187"/>
      <c r="M23" s="193"/>
      <c r="N23" s="196"/>
      <c r="O23" s="199"/>
      <c r="P23" s="74"/>
      <c r="Q23" s="8">
        <v>4</v>
      </c>
      <c r="R23" s="30" t="s">
        <v>107</v>
      </c>
      <c r="S23" s="50" t="str">
        <f t="shared" si="13"/>
        <v>Impacto</v>
      </c>
      <c r="T23" s="6" t="s">
        <v>84</v>
      </c>
      <c r="U23" s="6" t="s">
        <v>66</v>
      </c>
      <c r="V23" s="53" t="str">
        <f t="shared" si="14"/>
        <v>25%</v>
      </c>
      <c r="W23" s="73" t="s">
        <v>67</v>
      </c>
      <c r="X23" s="9" t="s">
        <v>108</v>
      </c>
      <c r="Y23" s="9" t="s">
        <v>109</v>
      </c>
      <c r="Z23" s="59">
        <f>IFERROR(IF(AND(S22="Probabilidad",S23="Probabilidad"),(AB22-(+AB22*V23)),IF(S23="Probabilidad",(I20-(+I20*V23)),IF(S23="Impacto",AB22,""))),"")</f>
        <v>0.216</v>
      </c>
      <c r="AA23" s="60" t="str">
        <f t="shared" ref="AA23" si="15">IFERROR(IF(Z23="","",IF(Z23&lt;=0.2,"Muy Baja",IF(Z23&lt;=0.4,"Baja",IF(Z23&lt;=0.6,"Media",IF(Z23&lt;=0.8,"Alta","Muy Alta"))))),"")</f>
        <v>Baja</v>
      </c>
      <c r="AB23" s="59">
        <f t="shared" ref="AB23" si="16">+Z23</f>
        <v>0.216</v>
      </c>
      <c r="AC23" s="61" t="str">
        <f t="shared" ref="AC23" si="17">IFERROR(IF(AD23="","",IF(AD23&lt;=0.2,"Leve",IF(AD23&lt;=0.4,"Menor",IF(AD23&lt;=0.6,"Moderado",IF(AD23&lt;=0.8,"Mayor","Catastrófico"))))),"")</f>
        <v>Menor</v>
      </c>
      <c r="AD23" s="59">
        <f>IFERROR(IF(AND(S22="Impacto",S22="Impacto"),(AD22-(+AD22*V23)),IF(S23="Impacto",(M20-(+M20*V23)),IF(S23="Probabilidad",AD22,""))),"")</f>
        <v>0.33749999999999997</v>
      </c>
      <c r="AE23" s="62" t="str">
        <f t="shared" ref="AE23" si="18">+CONCATENATE(AA23, " - ", AC23)</f>
        <v>Baja - Menor</v>
      </c>
      <c r="AF23" s="68" t="str">
        <f>+VLOOKUP(AE23,Datos!$J$4:$K$28,2,)</f>
        <v>MODERADO</v>
      </c>
      <c r="AG23" s="175"/>
      <c r="AH23" s="74"/>
      <c r="AI23" s="164"/>
      <c r="AJ23" s="167"/>
      <c r="AK23" s="170"/>
      <c r="AL23" s="75"/>
      <c r="AM23" s="85"/>
      <c r="AN23" s="88"/>
      <c r="AO23" s="95"/>
      <c r="AP23" s="79"/>
      <c r="AQ23" s="79"/>
      <c r="AR23" s="76"/>
      <c r="AS23" s="208"/>
      <c r="AT23" s="82"/>
      <c r="AU23" s="78"/>
    </row>
    <row r="24" spans="1:48">
      <c r="P24" s="2"/>
      <c r="AN24" s="72"/>
      <c r="AR24" s="41"/>
    </row>
    <row r="25" spans="1:48">
      <c r="P25" s="2"/>
    </row>
    <row r="26" spans="1:48">
      <c r="P26" s="2"/>
    </row>
    <row r="27" spans="1:48">
      <c r="P27" s="2"/>
      <c r="AV27" s="78"/>
    </row>
    <row r="28" spans="1:48">
      <c r="P28" s="2"/>
    </row>
    <row r="29" spans="1:48">
      <c r="P29" s="2"/>
    </row>
    <row r="30" spans="1:48">
      <c r="P30" s="2"/>
    </row>
    <row r="31" spans="1:48">
      <c r="P31" s="2"/>
    </row>
    <row r="32" spans="1:48">
      <c r="P32" s="2"/>
    </row>
    <row r="33" spans="16:16">
      <c r="P33" s="2"/>
    </row>
  </sheetData>
  <mergeCells count="76">
    <mergeCell ref="AQ1:AR2"/>
    <mergeCell ref="AS1:AT2"/>
    <mergeCell ref="AQ3:AR4"/>
    <mergeCell ref="AS3:AT4"/>
    <mergeCell ref="AS20:AS23"/>
    <mergeCell ref="AM14:AQ15"/>
    <mergeCell ref="AS14:AT15"/>
    <mergeCell ref="AS17:AS19"/>
    <mergeCell ref="C5:AP8"/>
    <mergeCell ref="AQ5:AR6"/>
    <mergeCell ref="AS5:AT6"/>
    <mergeCell ref="AQ7:AR8"/>
    <mergeCell ref="AS7:AT8"/>
    <mergeCell ref="AI20:AI23"/>
    <mergeCell ref="AJ20:AJ23"/>
    <mergeCell ref="AK20:AK23"/>
    <mergeCell ref="J20:J23"/>
    <mergeCell ref="AG20:AG23"/>
    <mergeCell ref="K20:K23"/>
    <mergeCell ref="L20:L23"/>
    <mergeCell ref="M20:M23"/>
    <mergeCell ref="N20:N23"/>
    <mergeCell ref="O20:O23"/>
    <mergeCell ref="E20:E23"/>
    <mergeCell ref="F20:F23"/>
    <mergeCell ref="G20:G23"/>
    <mergeCell ref="H20:H23"/>
    <mergeCell ref="I20:I23"/>
    <mergeCell ref="A20:A23"/>
    <mergeCell ref="B20:B23"/>
    <mergeCell ref="C20:C23"/>
    <mergeCell ref="D20:D23"/>
    <mergeCell ref="B17:B19"/>
    <mergeCell ref="A1:B8"/>
    <mergeCell ref="C1:AP4"/>
    <mergeCell ref="AI14:AK15"/>
    <mergeCell ref="AI17:AI19"/>
    <mergeCell ref="AJ17:AJ19"/>
    <mergeCell ref="AK17:AK19"/>
    <mergeCell ref="K17:K19"/>
    <mergeCell ref="N17:N19"/>
    <mergeCell ref="AG17:AG19"/>
    <mergeCell ref="A10:C10"/>
    <mergeCell ref="D10:M10"/>
    <mergeCell ref="A11:C11"/>
    <mergeCell ref="D11:M11"/>
    <mergeCell ref="A12:C12"/>
    <mergeCell ref="D12:M12"/>
    <mergeCell ref="E17:E19"/>
    <mergeCell ref="A14:O15"/>
    <mergeCell ref="Q14:AG14"/>
    <mergeCell ref="Z15:AG15"/>
    <mergeCell ref="T15:Y15"/>
    <mergeCell ref="M17:M19"/>
    <mergeCell ref="F17:F19"/>
    <mergeCell ref="C17:C19"/>
    <mergeCell ref="D17:D19"/>
    <mergeCell ref="G17:G19"/>
    <mergeCell ref="H17:H19"/>
    <mergeCell ref="I17:I19"/>
    <mergeCell ref="O17:O19"/>
    <mergeCell ref="L17:L19"/>
    <mergeCell ref="J17:J19"/>
    <mergeCell ref="A17:A19"/>
    <mergeCell ref="AT17:AT19"/>
    <mergeCell ref="AT20:AT23"/>
    <mergeCell ref="AM20:AM23"/>
    <mergeCell ref="AN20:AN23"/>
    <mergeCell ref="AP17:AP19"/>
    <mergeCell ref="AQ17:AQ19"/>
    <mergeCell ref="AO20:AO23"/>
    <mergeCell ref="AM17:AM19"/>
    <mergeCell ref="AN17:AN19"/>
    <mergeCell ref="AO17:AO19"/>
    <mergeCell ref="AP20:AP22"/>
    <mergeCell ref="AQ20:AQ22"/>
  </mergeCells>
  <conditionalFormatting sqref="H17:H23">
    <cfRule type="cellIs" dxfId="28" priority="173" operator="equal">
      <formula>"Muy Alta"</formula>
    </cfRule>
    <cfRule type="cellIs" dxfId="27" priority="174" operator="equal">
      <formula>"Alta"</formula>
    </cfRule>
    <cfRule type="cellIs" dxfId="26" priority="175" operator="equal">
      <formula>"Media"</formula>
    </cfRule>
    <cfRule type="cellIs" dxfId="25" priority="176" operator="equal">
      <formula>"Muy Baja"</formula>
    </cfRule>
    <cfRule type="cellIs" dxfId="24" priority="177" operator="equal">
      <formula>"Baja"</formula>
    </cfRule>
  </conditionalFormatting>
  <conditionalFormatting sqref="L17:L23">
    <cfRule type="cellIs" dxfId="23" priority="166" operator="equal">
      <formula>"Leve"</formula>
    </cfRule>
    <cfRule type="cellIs" dxfId="22" priority="167" operator="equal">
      <formula>"Catastrófico"</formula>
    </cfRule>
    <cfRule type="cellIs" dxfId="21" priority="168" operator="equal">
      <formula>"Mayor"</formula>
    </cfRule>
    <cfRule type="cellIs" dxfId="20" priority="169" operator="equal">
      <formula>"Moderado"</formula>
    </cfRule>
    <cfRule type="cellIs" dxfId="19" priority="171" operator="equal">
      <formula>"Menor"</formula>
    </cfRule>
  </conditionalFormatting>
  <conditionalFormatting sqref="O17:O23">
    <cfRule type="cellIs" dxfId="18" priority="160" operator="equal">
      <formula>"EXTREMO"</formula>
    </cfRule>
    <cfRule type="cellIs" dxfId="17" priority="161" operator="equal">
      <formula>"ALTO"</formula>
    </cfRule>
    <cfRule type="cellIs" dxfId="16" priority="163" operator="equal">
      <formula>"BAJO"</formula>
    </cfRule>
    <cfRule type="cellIs" dxfId="15" priority="164" operator="equal">
      <formula>"MODERADO"</formula>
    </cfRule>
  </conditionalFormatting>
  <conditionalFormatting sqref="AA17:AA21">
    <cfRule type="cellIs" dxfId="14" priority="99" operator="equal">
      <formula>"Muy Baja"</formula>
    </cfRule>
  </conditionalFormatting>
  <conditionalFormatting sqref="AA17:AA23">
    <cfRule type="cellIs" dxfId="13" priority="86" operator="equal">
      <formula>"Baja"</formula>
    </cfRule>
    <cfRule type="cellIs" dxfId="12" priority="87" operator="equal">
      <formula>"Media"</formula>
    </cfRule>
    <cfRule type="cellIs" dxfId="11" priority="88" operator="equal">
      <formula>"Muy Alta"</formula>
    </cfRule>
    <cfRule type="cellIs" dxfId="10" priority="89" operator="equal">
      <formula>"Alta"</formula>
    </cfRule>
  </conditionalFormatting>
  <conditionalFormatting sqref="AA22:AA23">
    <cfRule type="cellIs" dxfId="9" priority="85" stopIfTrue="1" operator="equal">
      <formula>"Muy Baja"</formula>
    </cfRule>
  </conditionalFormatting>
  <conditionalFormatting sqref="AC17:AC23">
    <cfRule type="cellIs" dxfId="8" priority="94" operator="equal">
      <formula>"Catastrófico"</formula>
    </cfRule>
    <cfRule type="cellIs" dxfId="7" priority="95" operator="equal">
      <formula>"Mayor"</formula>
    </cfRule>
    <cfRule type="cellIs" dxfId="6" priority="96" operator="equal">
      <formula>"Moderado"</formula>
    </cfRule>
    <cfRule type="cellIs" dxfId="5" priority="97" operator="equal">
      <formula>"Menor"</formula>
    </cfRule>
    <cfRule type="cellIs" dxfId="4" priority="98" operator="equal">
      <formula>"Leve"</formula>
    </cfRule>
  </conditionalFormatting>
  <conditionalFormatting sqref="AF17:AF23">
    <cfRule type="cellIs" dxfId="3" priority="90" operator="equal">
      <formula>"EXTREMO"</formula>
    </cfRule>
    <cfRule type="cellIs" dxfId="2" priority="91" operator="equal">
      <formula>"ALTO"</formula>
    </cfRule>
    <cfRule type="cellIs" dxfId="1" priority="92" operator="equal">
      <formula>"BAJO"</formula>
    </cfRule>
    <cfRule type="cellIs" dxfId="0" priority="93"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M17 L19:M19"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B17:B23</xm:sqref>
        </x14:dataValidation>
        <x14:dataValidation type="list" allowBlank="1" showInputMessage="1" showErrorMessage="1" xr:uid="{24BF034C-8DF6-4DDD-AB0C-FB15D8D5C9DC}">
          <x14:formula1>
            <xm:f>Datos!$O$3:$O$15</xm:f>
          </x14:formula1>
          <xm:sqref>J17:J23</xm:sqref>
        </x14:dataValidation>
        <x14:dataValidation type="list" allowBlank="1" showInputMessage="1" showErrorMessage="1" xr:uid="{A1FA52A4-69DE-4657-98CA-1920C8A6A77B}">
          <x14:formula1>
            <xm:f>Datos!$P$19:$P$22</xm:f>
          </x14:formula1>
          <xm:sqref>T17:T23</xm:sqref>
        </x14:dataValidation>
        <x14:dataValidation type="list" allowBlank="1" showInputMessage="1" showErrorMessage="1" xr:uid="{B5CA7F40-8C14-496F-BFA9-3397672B45BD}">
          <x14:formula1>
            <xm:f>Datos!$P$25:$P$26</xm:f>
          </x14:formula1>
          <xm:sqref>U17:U23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sheetPr codeName="Hoja2"/>
  <dimension ref="A3:Q28"/>
  <sheetViews>
    <sheetView topLeftCell="K1" zoomScale="120" zoomScaleNormal="120" workbookViewId="0">
      <selection activeCell="O13" sqref="O13"/>
    </sheetView>
  </sheetViews>
  <sheetFormatPr defaultColWidth="11.42578125" defaultRowHeight="15"/>
  <cols>
    <col min="7" max="7" width="14.85546875" customWidth="1"/>
    <col min="10" max="10" width="33" customWidth="1"/>
    <col min="15" max="15" width="81.42578125" customWidth="1"/>
  </cols>
  <sheetData>
    <row r="3" spans="1:17">
      <c r="A3" s="23" t="s">
        <v>110</v>
      </c>
      <c r="D3" t="s">
        <v>111</v>
      </c>
      <c r="G3" t="s">
        <v>112</v>
      </c>
      <c r="J3" t="s">
        <v>113</v>
      </c>
      <c r="O3" t="s">
        <v>114</v>
      </c>
    </row>
    <row r="4" spans="1:17">
      <c r="A4" t="s">
        <v>115</v>
      </c>
      <c r="D4" t="s">
        <v>116</v>
      </c>
      <c r="E4" s="22">
        <v>0.2</v>
      </c>
      <c r="G4" t="s">
        <v>117</v>
      </c>
      <c r="H4" s="22">
        <v>0.2</v>
      </c>
      <c r="J4" t="s">
        <v>118</v>
      </c>
      <c r="K4" t="s">
        <v>119</v>
      </c>
      <c r="O4" t="s">
        <v>120</v>
      </c>
      <c r="P4" s="3" t="s">
        <v>121</v>
      </c>
      <c r="Q4" s="25">
        <v>0.2</v>
      </c>
    </row>
    <row r="5" spans="1:17">
      <c r="A5" t="s">
        <v>59</v>
      </c>
      <c r="D5" t="s">
        <v>122</v>
      </c>
      <c r="E5" s="22">
        <v>0.4</v>
      </c>
      <c r="G5" t="s">
        <v>123</v>
      </c>
      <c r="H5" s="22">
        <v>0.4</v>
      </c>
      <c r="J5" t="s">
        <v>124</v>
      </c>
      <c r="K5" t="s">
        <v>119</v>
      </c>
      <c r="O5" s="24" t="s">
        <v>125</v>
      </c>
      <c r="P5" s="3" t="s">
        <v>126</v>
      </c>
      <c r="Q5" s="25">
        <v>0.4</v>
      </c>
    </row>
    <row r="6" spans="1:17">
      <c r="A6" t="s">
        <v>127</v>
      </c>
      <c r="D6" t="s">
        <v>128</v>
      </c>
      <c r="E6" s="22">
        <v>0.6</v>
      </c>
      <c r="G6" t="s">
        <v>129</v>
      </c>
      <c r="H6" s="22">
        <v>0.6</v>
      </c>
      <c r="J6" t="s">
        <v>130</v>
      </c>
      <c r="K6" t="s">
        <v>129</v>
      </c>
      <c r="O6" t="s">
        <v>131</v>
      </c>
      <c r="P6" s="3" t="s">
        <v>132</v>
      </c>
      <c r="Q6" s="25">
        <v>0.6</v>
      </c>
    </row>
    <row r="7" spans="1:17">
      <c r="D7" t="s">
        <v>133</v>
      </c>
      <c r="E7" s="22">
        <v>0.8</v>
      </c>
      <c r="G7" t="s">
        <v>134</v>
      </c>
      <c r="H7" s="22">
        <v>0.8</v>
      </c>
      <c r="J7" t="s">
        <v>135</v>
      </c>
      <c r="K7" t="s">
        <v>136</v>
      </c>
      <c r="O7" t="s">
        <v>137</v>
      </c>
      <c r="P7" s="3" t="s">
        <v>138</v>
      </c>
      <c r="Q7" s="25">
        <v>0.8</v>
      </c>
    </row>
    <row r="8" spans="1:17">
      <c r="D8" t="s">
        <v>139</v>
      </c>
      <c r="E8" s="22">
        <v>1</v>
      </c>
      <c r="G8" t="s">
        <v>140</v>
      </c>
      <c r="H8" s="22">
        <v>1</v>
      </c>
      <c r="J8" t="s">
        <v>141</v>
      </c>
      <c r="K8" t="s">
        <v>142</v>
      </c>
      <c r="O8" t="s">
        <v>143</v>
      </c>
      <c r="P8" s="3" t="s">
        <v>144</v>
      </c>
      <c r="Q8" s="25">
        <v>1</v>
      </c>
    </row>
    <row r="9" spans="1:17">
      <c r="J9" t="s">
        <v>145</v>
      </c>
      <c r="K9" t="s">
        <v>119</v>
      </c>
    </row>
    <row r="10" spans="1:17">
      <c r="J10" t="s">
        <v>146</v>
      </c>
      <c r="K10" t="s">
        <v>129</v>
      </c>
      <c r="O10" t="s">
        <v>147</v>
      </c>
    </row>
    <row r="11" spans="1:17">
      <c r="J11" t="s">
        <v>148</v>
      </c>
      <c r="K11" t="s">
        <v>129</v>
      </c>
      <c r="O11" t="s">
        <v>149</v>
      </c>
      <c r="P11" s="3" t="s">
        <v>121</v>
      </c>
      <c r="Q11" s="25">
        <v>0.2</v>
      </c>
    </row>
    <row r="12" spans="1:17" ht="30.75" customHeight="1">
      <c r="J12" t="s">
        <v>150</v>
      </c>
      <c r="K12" t="s">
        <v>136</v>
      </c>
      <c r="O12" s="24" t="s">
        <v>63</v>
      </c>
      <c r="P12" s="3" t="s">
        <v>126</v>
      </c>
      <c r="Q12" s="25">
        <v>0.4</v>
      </c>
    </row>
    <row r="13" spans="1:17" ht="30">
      <c r="J13" t="s">
        <v>151</v>
      </c>
      <c r="K13" t="s">
        <v>142</v>
      </c>
      <c r="O13" s="24" t="s">
        <v>90</v>
      </c>
      <c r="P13" s="3" t="s">
        <v>132</v>
      </c>
      <c r="Q13" s="25">
        <v>0.6</v>
      </c>
    </row>
    <row r="14" spans="1:17" ht="30">
      <c r="J14" t="s">
        <v>152</v>
      </c>
      <c r="K14" t="s">
        <v>129</v>
      </c>
      <c r="O14" s="24" t="s">
        <v>153</v>
      </c>
      <c r="P14" s="3" t="s">
        <v>138</v>
      </c>
      <c r="Q14" s="25">
        <v>0.8</v>
      </c>
    </row>
    <row r="15" spans="1:17" ht="30">
      <c r="J15" t="s">
        <v>154</v>
      </c>
      <c r="K15" t="s">
        <v>129</v>
      </c>
      <c r="O15" s="24" t="s">
        <v>155</v>
      </c>
      <c r="P15" s="3" t="s">
        <v>144</v>
      </c>
      <c r="Q15" s="25">
        <v>1</v>
      </c>
    </row>
    <row r="16" spans="1:17">
      <c r="J16" t="s">
        <v>156</v>
      </c>
      <c r="K16" t="s">
        <v>129</v>
      </c>
    </row>
    <row r="17" spans="10:16">
      <c r="J17" t="s">
        <v>157</v>
      </c>
      <c r="K17" t="s">
        <v>136</v>
      </c>
    </row>
    <row r="18" spans="10:16">
      <c r="J18" t="s">
        <v>158</v>
      </c>
      <c r="K18" t="s">
        <v>142</v>
      </c>
    </row>
    <row r="19" spans="10:16">
      <c r="J19" t="s">
        <v>159</v>
      </c>
      <c r="K19" t="s">
        <v>129</v>
      </c>
      <c r="P19" t="s">
        <v>160</v>
      </c>
    </row>
    <row r="20" spans="10:16">
      <c r="J20" t="s">
        <v>161</v>
      </c>
      <c r="K20" t="s">
        <v>129</v>
      </c>
      <c r="P20" t="s">
        <v>92</v>
      </c>
    </row>
    <row r="21" spans="10:16">
      <c r="J21" t="s">
        <v>162</v>
      </c>
      <c r="K21" t="s">
        <v>136</v>
      </c>
      <c r="P21" t="s">
        <v>65</v>
      </c>
    </row>
    <row r="22" spans="10:16">
      <c r="J22" t="s">
        <v>163</v>
      </c>
      <c r="K22" t="s">
        <v>136</v>
      </c>
      <c r="P22" t="s">
        <v>84</v>
      </c>
    </row>
    <row r="23" spans="10:16">
      <c r="J23" t="s">
        <v>164</v>
      </c>
      <c r="K23" t="s">
        <v>142</v>
      </c>
    </row>
    <row r="24" spans="10:16">
      <c r="J24" t="s">
        <v>165</v>
      </c>
      <c r="K24" t="s">
        <v>136</v>
      </c>
      <c r="P24" t="s">
        <v>166</v>
      </c>
    </row>
    <row r="25" spans="10:16">
      <c r="J25" t="s">
        <v>167</v>
      </c>
      <c r="K25" t="s">
        <v>136</v>
      </c>
      <c r="P25" t="s">
        <v>168</v>
      </c>
    </row>
    <row r="26" spans="10:16">
      <c r="J26" t="s">
        <v>169</v>
      </c>
      <c r="K26" t="s">
        <v>136</v>
      </c>
      <c r="P26" t="s">
        <v>66</v>
      </c>
    </row>
    <row r="27" spans="10:16">
      <c r="J27" t="s">
        <v>170</v>
      </c>
      <c r="K27" t="s">
        <v>136</v>
      </c>
    </row>
    <row r="28" spans="10:16">
      <c r="J28" t="s">
        <v>171</v>
      </c>
      <c r="K28" t="s">
        <v>142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sheetPr codeName="Hoja3"/>
  <dimension ref="A1"/>
  <sheetViews>
    <sheetView workbookViewId="0">
      <selection activeCell="E11" sqref="E11"/>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94EEC7-09E3-4EC0-8128-57D92E58FB54}"/>
</file>

<file path=customXml/itemProps2.xml><?xml version="1.0" encoding="utf-8"?>
<ds:datastoreItem xmlns:ds="http://schemas.openxmlformats.org/officeDocument/2006/customXml" ds:itemID="{C86CAB3E-6A9B-4F90-88A4-7BC31CB8DF57}"/>
</file>

<file path=customXml/itemProps3.xml><?xml version="1.0" encoding="utf-8"?>
<ds:datastoreItem xmlns:ds="http://schemas.openxmlformats.org/officeDocument/2006/customXml" ds:itemID="{0D9643F5-2424-4A9B-8529-E76DB2784E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Carlos Andres Guerra Jimenez</cp:lastModifiedBy>
  <cp:revision/>
  <dcterms:created xsi:type="dcterms:W3CDTF">2021-05-10T15:52:34Z</dcterms:created>
  <dcterms:modified xsi:type="dcterms:W3CDTF">2025-06-14T15:14:28Z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